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olin9b\Documents\"/>
    </mc:Choice>
  </mc:AlternateContent>
  <bookViews>
    <workbookView xWindow="0" yWindow="0" windowWidth="23040" windowHeight="9780" tabRatio="846"/>
  </bookViews>
  <sheets>
    <sheet name="Readme" sheetId="74" r:id="rId1"/>
    <sheet name="Summary" sheetId="10" r:id="rId2"/>
    <sheet name="Key Results" sheetId="39" r:id="rId3"/>
    <sheet name="Sites" sheetId="1" r:id="rId4"/>
    <sheet name="Staff Strategy" sheetId="49" r:id="rId5"/>
    <sheet name="CWN June" sheetId="69" r:id="rId6"/>
    <sheet name="Guillen-Kaplan" sheetId="72" r:id="rId7"/>
    <sheet name="SLA minimum" sheetId="59" r:id="rId8"/>
    <sheet name="Guillen-Kaplan_60%" sheetId="73" r:id="rId9"/>
    <sheet name="Land Value Analysis_80%AMI" sheetId="57" r:id="rId10"/>
    <sheet name="BMR Rents_80%AMI" sheetId="58" r:id="rId11"/>
    <sheet name="SubsidyComparisonGraphic" sheetId="60" r:id="rId12"/>
    <sheet name="BMR Rents_Staff_50AMI" sheetId="61" r:id="rId13"/>
    <sheet name="Impact Fee" sheetId="14" r:id="rId14"/>
    <sheet name="Funding" sheetId="18" r:id="rId15"/>
    <sheet name="Zoning Density" sheetId="4" r:id="rId16"/>
    <sheet name="Density Bonus" sheetId="8" r:id="rId17"/>
    <sheet name="NOFA Budget" sheetId="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____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___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__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____LT100000">[1]LT100000!$A$4:$G$14</definedName>
    <definedName name="______m1000000">[1]M1000000!$A$4:$G$43</definedName>
    <definedName name="______tab5">'[2]Table List'!$D$15</definedName>
    <definedName name="___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___LT100000">[1]LT100000!$A$4:$G$14</definedName>
    <definedName name="_____m1000000">[1]M1000000!$A$4:$G$43</definedName>
    <definedName name="_____tab5">'[2]Table List'!$D$15</definedName>
    <definedName name="__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__LT100000">[1]LT100000!$A$4:$G$14</definedName>
    <definedName name="____m1000000">[1]M1000000!$A$4:$G$43</definedName>
    <definedName name="____tab5">'[2]Table List'!$D$15</definedName>
    <definedName name="_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_LT100000">[1]LT100000!$A$4:$G$14</definedName>
    <definedName name="___m1000000">[1]M1000000!$A$4:$G$43</definedName>
    <definedName name="___MNT2" hidden="1">{#N/A,#N/A,FALSE,"Summary";#N/A,#N/A,FALSE,"trends2";#N/A,#N/A,FALSE,"SF_CBD";#N/A,#N/A,FALSE,"NFA";#N/A,#N/A,FALSE,"NFB";#N/A,#N/A,FALSE,"SFA";#N/A,#N/A,FALSE,"SFB";#N/A,#N/A,FALSE,"JSNW";#N/A,#N/A,FALSE,"SBRH";#N/A,#N/A,FALSE,"USQ";#N/A,#N/A,FALSE,"YB"}</definedName>
    <definedName name="___tab5">'[2]Table List'!$D$15</definedName>
    <definedName name="_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_bad3" hidden="1">{#N/A,#N/A,FALSE,"Development Program";#N/A,#N/A,FALSE,"Service Pop";#N/A,#N/A,FALSE,"Police";#N/A,#N/A,FALSE,"Public Works";#N/A,#N/A,FALSE,"Communications";#N/A,#N/A,FALSE,"Planning";#N/A,#N/A,FALSE,"Parks &amp; Rec";#N/A,#N/A,FALSE,"Library";#N/A,#N/A,FALSE,"GenGov";#N/A,#N/A,FALSE,"Prop. Value";#N/A,#N/A,FALSE,"Property Tax";#N/A,#N/A,FALSE,"Sales Tax";#N/A,#N/A,FALSE,"Property Transfer Tax";#N/A,#N/A,FALSE,"TOT Tax";#N/A,#N/A,FALSE,"Business Lic.";#N/A,#N/A,FALSE,"Other Revenue";#N/A,#N/A,FALSE,"Fiscal Summary";#N/A,#N/A,FALSE,"Appendix A"}</definedName>
    <definedName name="__LT100000">[1]LT100000!$A$4:$G$14</definedName>
    <definedName name="__m1000000">[1]M1000000!$A$4:$G$43</definedName>
    <definedName name="__MNT2" hidden="1">{#N/A,#N/A,FALSE,"Summary";#N/A,#N/A,FALSE,"trends2";#N/A,#N/A,FALSE,"SF_CBD";#N/A,#N/A,FALSE,"NFA";#N/A,#N/A,FALSE,"NFB";#N/A,#N/A,FALSE,"SFA";#N/A,#N/A,FALSE,"SFB";#N/A,#N/A,FALSE,"JSNW";#N/A,#N/A,FALSE,"SBRH";#N/A,#N/A,FALSE,"USQ";#N/A,#N/A,FALSE,"YB"}</definedName>
    <definedName name="__tab5">'[2]Table List'!$D$15</definedName>
    <definedName name="_1________123Graph_ACHART_1" localSheetId="5" hidden="1">'[3]TOT by Year'!#REF!</definedName>
    <definedName name="_1________123Graph_ACHART_1" localSheetId="6" hidden="1">'[3]TOT by Year'!#REF!</definedName>
    <definedName name="_1________123Graph_ACHART_1" localSheetId="8" hidden="1">'[3]TOT by Year'!#REF!</definedName>
    <definedName name="_1________123Graph_ACHART_1" localSheetId="7" hidden="1">'[3]TOT by Year'!#REF!</definedName>
    <definedName name="_1________123Graph_ACHART_1" hidden="1">'[3]TOT by Year'!#REF!</definedName>
    <definedName name="_1______123Graph_ACHART_1" localSheetId="5" hidden="1">'[3]TOT by Year'!#REF!</definedName>
    <definedName name="_1______123Graph_ACHART_1" localSheetId="6" hidden="1">'[3]TOT by Year'!#REF!</definedName>
    <definedName name="_1______123Graph_ACHART_1" localSheetId="8" hidden="1">'[3]TOT by Year'!#REF!</definedName>
    <definedName name="_1______123Graph_ACHART_1" localSheetId="7" hidden="1">'[3]TOT by Year'!#REF!</definedName>
    <definedName name="_1______123Graph_ACHART_1" hidden="1">'[3]TOT by Year'!#REF!</definedName>
    <definedName name="_1_____123Graph_ACHART_1" localSheetId="5" hidden="1">'[3]TOT by Year'!#REF!</definedName>
    <definedName name="_1_____123Graph_ACHART_1" localSheetId="6" hidden="1">'[3]TOT by Year'!#REF!</definedName>
    <definedName name="_1_____123Graph_ACHART_1" localSheetId="8" hidden="1">'[3]TOT by Year'!#REF!</definedName>
    <definedName name="_1_____123Graph_ACHART_1" localSheetId="7" hidden="1">'[3]TOT by Year'!#REF!</definedName>
    <definedName name="_1_____123Graph_ACHART_1" hidden="1">'[3]TOT by Year'!#REF!</definedName>
    <definedName name="_2_______123Graph_ACHART_1" localSheetId="5" hidden="1">'[3]TOT by Year'!#REF!</definedName>
    <definedName name="_2_______123Graph_ACHART_1" localSheetId="6" hidden="1">'[3]TOT by Year'!#REF!</definedName>
    <definedName name="_2_______123Graph_ACHART_1" localSheetId="8" hidden="1">'[3]TOT by Year'!#REF!</definedName>
    <definedName name="_2_______123Graph_ACHART_1" localSheetId="7" hidden="1">'[3]TOT by Year'!#REF!</definedName>
    <definedName name="_2_______123Graph_ACHART_1" hidden="1">'[3]TOT by Year'!#REF!</definedName>
    <definedName name="_2____123Graph_ACHART_1" localSheetId="5" hidden="1">'[3]TOT by Year'!#REF!</definedName>
    <definedName name="_2____123Graph_ACHART_1" localSheetId="6" hidden="1">'[3]TOT by Year'!#REF!</definedName>
    <definedName name="_2____123Graph_ACHART_1" localSheetId="8" hidden="1">'[3]TOT by Year'!#REF!</definedName>
    <definedName name="_2____123Graph_ACHART_1" localSheetId="7" hidden="1">'[3]TOT by Year'!#REF!</definedName>
    <definedName name="_2____123Graph_ACHART_1" hidden="1">'[3]TOT by Year'!#REF!</definedName>
    <definedName name="_3______123Graph_ACHART_1" localSheetId="5" hidden="1">'[3]TOT by Year'!#REF!</definedName>
    <definedName name="_3______123Graph_ACHART_1" localSheetId="6" hidden="1">'[3]TOT by Year'!#REF!</definedName>
    <definedName name="_3______123Graph_ACHART_1" localSheetId="8" hidden="1">'[3]TOT by Year'!#REF!</definedName>
    <definedName name="_3______123Graph_ACHART_1" localSheetId="7" hidden="1">'[3]TOT by Year'!#REF!</definedName>
    <definedName name="_3______123Graph_ACHART_1" hidden="1">'[3]TOT by Year'!#REF!</definedName>
    <definedName name="_3___123Graph_ACHART_1" localSheetId="5" hidden="1">'[3]TOT by Year'!#REF!</definedName>
    <definedName name="_3___123Graph_ACHART_1" localSheetId="6" hidden="1">'[3]TOT by Year'!#REF!</definedName>
    <definedName name="_3___123Graph_ACHART_1" localSheetId="8" hidden="1">'[3]TOT by Year'!#REF!</definedName>
    <definedName name="_3___123Graph_ACHART_1" localSheetId="7" hidden="1">'[3]TOT by Year'!#REF!</definedName>
    <definedName name="_3___123Graph_ACHART_1" hidden="1">'[3]TOT by Year'!#REF!</definedName>
    <definedName name="_4_____123Graph_ACHART_1" localSheetId="5" hidden="1">'[3]TOT by Year'!#REF!</definedName>
    <definedName name="_4_____123Graph_ACHART_1" localSheetId="6" hidden="1">'[3]TOT by Year'!#REF!</definedName>
    <definedName name="_4_____123Graph_ACHART_1" localSheetId="8" hidden="1">'[3]TOT by Year'!#REF!</definedName>
    <definedName name="_4_____123Graph_ACHART_1" localSheetId="7" hidden="1">'[3]TOT by Year'!#REF!</definedName>
    <definedName name="_4_____123Graph_ACHART_1" hidden="1">'[3]TOT by Year'!#REF!</definedName>
    <definedName name="_4__123Graph_ACHART_1" localSheetId="5" hidden="1">'[3]TOT by Year'!#REF!</definedName>
    <definedName name="_4__123Graph_ACHART_1" localSheetId="6" hidden="1">'[3]TOT by Year'!#REF!</definedName>
    <definedName name="_4__123Graph_ACHART_1" localSheetId="8" hidden="1">'[3]TOT by Year'!#REF!</definedName>
    <definedName name="_4__123Graph_ACHART_1" localSheetId="7" hidden="1">'[3]TOT by Year'!#REF!</definedName>
    <definedName name="_4__123Graph_ACHART_1" hidden="1">'[3]TOT by Year'!#REF!</definedName>
    <definedName name="_5_____123Graph_ACHART_1" localSheetId="5" hidden="1">'[3]TOT by Year'!#REF!</definedName>
    <definedName name="_5_____123Graph_ACHART_1" localSheetId="6" hidden="1">'[3]TOT by Year'!#REF!</definedName>
    <definedName name="_5_____123Graph_ACHART_1" localSheetId="8" hidden="1">'[3]TOT by Year'!#REF!</definedName>
    <definedName name="_5_____123Graph_ACHART_1" localSheetId="7" hidden="1">'[3]TOT by Year'!#REF!</definedName>
    <definedName name="_5_____123Graph_ACHART_1" hidden="1">'[3]TOT by Year'!#REF!</definedName>
    <definedName name="_5___123Graph_ACHART_1" localSheetId="5" hidden="1">'[3]TOT by Year'!#REF!</definedName>
    <definedName name="_5___123Graph_ACHART_1" localSheetId="6" hidden="1">'[3]TOT by Year'!#REF!</definedName>
    <definedName name="_5___123Graph_ACHART_1" localSheetId="8" hidden="1">'[3]TOT by Year'!#REF!</definedName>
    <definedName name="_5___123Graph_ACHART_1" localSheetId="7" hidden="1">'[3]TOT by Year'!#REF!</definedName>
    <definedName name="_5___123Graph_ACHART_1" hidden="1">'[3]TOT by Year'!#REF!</definedName>
    <definedName name="_6__123Graph_ACHART_1" localSheetId="5" hidden="1">'[3]TOT by Year'!#REF!</definedName>
    <definedName name="_6__123Graph_ACHART_1" localSheetId="6" hidden="1">'[3]TOT by Year'!#REF!</definedName>
    <definedName name="_6__123Graph_ACHART_1" localSheetId="8" hidden="1">'[3]TOT by Year'!#REF!</definedName>
    <definedName name="_6__123Graph_ACHART_1" localSheetId="7" hidden="1">'[3]TOT by Year'!#REF!</definedName>
    <definedName name="_6__123Graph_ACHART_1" hidden="1">'[3]TOT by Year'!#REF!</definedName>
    <definedName name="_9__123Graph_ACHART_1" localSheetId="5" hidden="1">'[3]TOT by Year'!#REF!</definedName>
    <definedName name="_9__123Graph_ACHART_1" localSheetId="6" hidden="1">'[3]TOT by Year'!#REF!</definedName>
    <definedName name="_9__123Graph_ACHART_1" localSheetId="8" hidden="1">'[3]TOT by Year'!#REF!</definedName>
    <definedName name="_9__123Graph_ACHART_1" localSheetId="7" hidden="1">'[3]TOT by Year'!#REF!</definedName>
    <definedName name="_9__123Graph_ACHART_1" hidden="1">'[3]TOT by Year'!#REF!</definedName>
    <definedName name="_bad2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_bad3" hidden="1">{#N/A,#N/A,FALSE,"Development Program";#N/A,#N/A,FALSE,"Service Pop";#N/A,#N/A,FALSE,"Police";#N/A,#N/A,FALSE,"Public Works";#N/A,#N/A,FALSE,"Communications";#N/A,#N/A,FALSE,"Planning";#N/A,#N/A,FALSE,"Parks &amp; Rec";#N/A,#N/A,FALSE,"Library";#N/A,#N/A,FALSE,"GenGov";#N/A,#N/A,FALSE,"Prop. Value";#N/A,#N/A,FALSE,"Property Tax";#N/A,#N/A,FALSE,"Sales Tax";#N/A,#N/A,FALSE,"Property Transfer Tax";#N/A,#N/A,FALSE,"TOT Tax";#N/A,#N/A,FALSE,"Business Lic.";#N/A,#N/A,FALSE,"Other Revenue";#N/A,#N/A,FALSE,"Fiscal Summary";#N/A,#N/A,FALSE,"Appendix A"}</definedName>
    <definedName name="_xlnm._FilterDatabase" localSheetId="3" hidden="1">Sites!$A$4:$IH$28</definedName>
    <definedName name="_int70" localSheetId="5">#REF!</definedName>
    <definedName name="_int70" localSheetId="6">#REF!</definedName>
    <definedName name="_int70" localSheetId="8">#REF!</definedName>
    <definedName name="_int70" localSheetId="7">#REF!</definedName>
    <definedName name="_int70">#REF!</definedName>
    <definedName name="_int80" localSheetId="5">#REF!</definedName>
    <definedName name="_int80" localSheetId="6">#REF!</definedName>
    <definedName name="_int80" localSheetId="8">#REF!</definedName>
    <definedName name="_int80" localSheetId="7">#REF!</definedName>
    <definedName name="_int80">#REF!</definedName>
    <definedName name="_MNT2" hidden="1">{#N/A,#N/A,FALSE,"Summary";#N/A,#N/A,FALSE,"trends2";#N/A,#N/A,FALSE,"SF_CBD";#N/A,#N/A,FALSE,"NFA";#N/A,#N/A,FALSE,"NFB";#N/A,#N/A,FALSE,"SFA";#N/A,#N/A,FALSE,"SFB";#N/A,#N/A,FALSE,"JSNW";#N/A,#N/A,FALSE,"SBRH";#N/A,#N/A,FALSE,"USQ";#N/A,#N/A,FALSE,"YB"}</definedName>
    <definedName name="_Order1" hidden="1">255</definedName>
    <definedName name="_tab5">'[2]Table List'!$D$15</definedName>
    <definedName name="a" hidden="1">{#N/A,#N/A,FALSE,"Development Program";#N/A,#N/A,FALSE,"Service Pop";#N/A,#N/A,FALSE,"Police";#N/A,#N/A,FALSE,"Public Works";#N/A,#N/A,FALSE,"Communications";#N/A,#N/A,FALSE,"Planning";#N/A,#N/A,FALSE,"Parks &amp; Rec";#N/A,#N/A,FALSE,"Library";#N/A,#N/A,FALSE,"GenGov";#N/A,#N/A,FALSE,"Prop. Value";#N/A,#N/A,FALSE,"Property Tax";#N/A,#N/A,FALSE,"Sales Tax";#N/A,#N/A,FALSE,"Property Transfer Tax";#N/A,#N/A,FALSE,"TOT Tax";#N/A,#N/A,FALSE,"Business Lic.";#N/A,#N/A,FALSE,"Other Revenue";#N/A,#N/A,FALSE,"Fiscal Summary";#N/A,#N/A,FALSE,"Appendix A"}</definedName>
    <definedName name="aa" localSheetId="5">'[4]Patrol Time Per Beat'!#REF!</definedName>
    <definedName name="aa" localSheetId="6">'[4]Patrol Time Per Beat'!#REF!</definedName>
    <definedName name="aa" localSheetId="8">'[4]Patrol Time Per Beat'!#REF!</definedName>
    <definedName name="aa" localSheetId="7">'[4]Patrol Time Per Beat'!#REF!</definedName>
    <definedName name="aa">'[4]Patrol Time Per Beat'!#REF!</definedName>
    <definedName name="AAA" hidden="1">{"'Sheet1'!$A$1:$B$1","'Sheet1'!$A$1:$I$38"}</definedName>
    <definedName name="aaaa" localSheetId="5">#REF!</definedName>
    <definedName name="aaaa" localSheetId="6">#REF!</definedName>
    <definedName name="aaaa" localSheetId="8">#REF!</definedName>
    <definedName name="aaaa" localSheetId="7">#REF!</definedName>
    <definedName name="aaaa">#REF!</definedName>
    <definedName name="aaaaa" localSheetId="5">#REF!</definedName>
    <definedName name="aaaaa" localSheetId="6">#REF!</definedName>
    <definedName name="aaaaa" localSheetId="8">#REF!</definedName>
    <definedName name="aaaaa" localSheetId="7">#REF!</definedName>
    <definedName name="aaaaa">#REF!</definedName>
    <definedName name="ab" hidden="1">{"'Sheet1'!$A$1:$B$1","'Sheet1'!$A$1:$I$38"}</definedName>
    <definedName name="abc" localSheetId="5">#REF!</definedName>
    <definedName name="abc" localSheetId="6">#REF!</definedName>
    <definedName name="abc" localSheetId="8">#REF!</definedName>
    <definedName name="abc" localSheetId="7">#REF!</definedName>
    <definedName name="abc">#REF!</definedName>
    <definedName name="abcd" hidden="1">{"'Sheet1'!$A$1:$B$1","'Sheet1'!$A$1:$I$38"}</definedName>
    <definedName name="abcde" hidden="1">{#N/A,#N/A,FALSE,"Service Population";#N/A,#N/A,FALSE,"Property Tax Calc.";#N/A,#N/A,FALSE,"Sales Tax";#N/A,#N/A,FALSE,"Other Revenue";#N/A,#N/A,FALSE,"Fire ";#N/A,#N/A,FALSE,"Police";#N/A,#N/A,FALSE,"Community Development";#N/A,#N/A,FALSE,"Public Works";#N/A,#N/A,FALSE,"Parks &amp; Community Service";#N/A,#N/A,FALSE,"Fiscal Impacts"}</definedName>
    <definedName name="abcdef" hidden="1">{"'Sheet1'!$A$1:$B$1","'Sheet1'!$A$1:$I$38"}</definedName>
    <definedName name="abcdefg" hidden="1">{"'Sheet1'!$A$1:$B$1","'Sheet1'!$A$1:$I$38"}</definedName>
    <definedName name="abecdw" hidden="1">{"'Sheet1'!$A$1:$B$1","'Sheet1'!$A$1:$I$38"}</definedName>
    <definedName name="acres" localSheetId="5">#REF!</definedName>
    <definedName name="acres" localSheetId="6">#REF!</definedName>
    <definedName name="acres" localSheetId="8">#REF!</definedName>
    <definedName name="acres" localSheetId="7">#REF!</definedName>
    <definedName name="acres">#REF!</definedName>
    <definedName name="ag" localSheetId="5" hidden="1">'[3]TOT by Year'!#REF!</definedName>
    <definedName name="ag" localSheetId="6" hidden="1">'[3]TOT by Year'!#REF!</definedName>
    <definedName name="ag" localSheetId="8" hidden="1">'[3]TOT by Year'!#REF!</definedName>
    <definedName name="ag" localSheetId="7" hidden="1">'[3]TOT by Year'!#REF!</definedName>
    <definedName name="ag" hidden="1">'[3]TOT by Year'!#REF!</definedName>
    <definedName name="ah" localSheetId="5" hidden="1">'[3]TOT by Year'!#REF!</definedName>
    <definedName name="ah" localSheetId="6" hidden="1">'[3]TOT by Year'!#REF!</definedName>
    <definedName name="ah" localSheetId="8" hidden="1">'[3]TOT by Year'!#REF!</definedName>
    <definedName name="ah" localSheetId="7" hidden="1">'[3]TOT by Year'!#REF!</definedName>
    <definedName name="ah" hidden="1">'[3]TOT by Year'!#REF!</definedName>
    <definedName name="aj" localSheetId="5" hidden="1">'[3]TOT by Year'!#REF!</definedName>
    <definedName name="aj" localSheetId="6" hidden="1">'[3]TOT by Year'!#REF!</definedName>
    <definedName name="aj" localSheetId="8" hidden="1">'[3]TOT by Year'!#REF!</definedName>
    <definedName name="aj" localSheetId="7" hidden="1">'[3]TOT by Year'!#REF!</definedName>
    <definedName name="aj" hidden="1">'[3]TOT by Year'!#REF!</definedName>
    <definedName name="allcheck">[1]Allcheck!$A$4:$G$105</definedName>
    <definedName name="allyear">'[1]All year'!$A$4:$G$99</definedName>
    <definedName name="asf" localSheetId="5">#REF!</definedName>
    <definedName name="asf" localSheetId="6">#REF!</definedName>
    <definedName name="asf" localSheetId="8">#REF!</definedName>
    <definedName name="asf" localSheetId="7">#REF!</definedName>
    <definedName name="asf">#REF!</definedName>
    <definedName name="average_balance" localSheetId="5">#REF!</definedName>
    <definedName name="average_balance" localSheetId="6">#REF!</definedName>
    <definedName name="average_balance" localSheetId="8">#REF!</definedName>
    <definedName name="average_balance" localSheetId="7">#REF!</definedName>
    <definedName name="average_balance">#REF!</definedName>
    <definedName name="b" hidden="1">{#N/A,#N/A,FALSE,"County";#N/A,#N/A,FALSE,"Fiscal Impacts";#N/A,#N/A,FALSE,"Genrl Govt.";#N/A,#N/A,FALSE,"Community Development";#N/A,#N/A,FALSE,"Community Services";#N/A,#N/A,FALSE,"Police &amp; Fire";#N/A,#N/A,FALSE,"Comps";#N/A,#N/A,FALSE,"Residential Property";#N/A,#N/A,FALSE,"Property Tax Calc.";#N/A,#N/A,FALSE,"Revenue Distribution, Post Annx";#N/A,#N/A,FALSE,"Revenue Distribution, Pre Annx";#N/A,#N/A,FALSE,"Other Revenue";#N/A,#N/A,FALSE,"Sales Tax";#N/A,#N/A,FALSE,"Service Population";#N/A,#N/A,FALSE,"Property Taxes";#N/A,#N/A,FALSE,"TRA w ERAF"}</definedName>
    <definedName name="bad" hidden="1">{#N/A,#N/A,FALSE,"Development Program";#N/A,#N/A,FALSE,"Service Pop";#N/A,#N/A,FALSE,"Police";#N/A,#N/A,FALSE,"Public Works";#N/A,#N/A,FALSE,"Communications";#N/A,#N/A,FALSE,"Planning";#N/A,#N/A,FALSE,"Parks &amp; Rec";#N/A,#N/A,FALSE,"Library";#N/A,#N/A,FALSE,"GenGov";#N/A,#N/A,FALSE,"Prop. Value";#N/A,#N/A,FALSE,"Property Tax";#N/A,#N/A,FALSE,"Sales Tax";#N/A,#N/A,FALSE,"Property Transfer Tax";#N/A,#N/A,FALSE,"TOT Tax";#N/A,#N/A,FALSE,"Business Lic.";#N/A,#N/A,FALSE,"Other Revenue";#N/A,#N/A,FALSE,"Fiscal Summary";#N/A,#N/A,FALSE,"Appendix A"}</definedName>
    <definedName name="bb" localSheetId="5">#REF!</definedName>
    <definedName name="bb" localSheetId="6">#REF!</definedName>
    <definedName name="bb" localSheetId="8">#REF!</definedName>
    <definedName name="bb" localSheetId="7">#REF!</definedName>
    <definedName name="bb">#REF!</definedName>
    <definedName name="bbb" localSheetId="5">#REF!</definedName>
    <definedName name="bbb" localSheetId="6">#REF!</definedName>
    <definedName name="bbb" localSheetId="8">#REF!</definedName>
    <definedName name="bbb" localSheetId="7">#REF!</definedName>
    <definedName name="bbb">#REF!</definedName>
    <definedName name="bdrms" localSheetId="5">#REF!</definedName>
    <definedName name="bdrms" localSheetId="6">#REF!</definedName>
    <definedName name="bdrms" localSheetId="8">#REF!</definedName>
    <definedName name="bdrms" localSheetId="7">#REF!</definedName>
    <definedName name="bdrms">#REF!</definedName>
    <definedName name="bdrms2" localSheetId="5">#REF!</definedName>
    <definedName name="bdrms2" localSheetId="6">#REF!</definedName>
    <definedName name="bdrms2" localSheetId="8">#REF!</definedName>
    <definedName name="bdrms2" localSheetId="7">#REF!</definedName>
    <definedName name="bdrms2">#REF!</definedName>
    <definedName name="Category_by_Tax_by_Year">[5]Category_by_Tax_by_Year!$A$1:$I$37</definedName>
    <definedName name="Census2010" localSheetId="5">#REF!</definedName>
    <definedName name="Census2010" localSheetId="6">#REF!</definedName>
    <definedName name="Census2010" localSheetId="8">#REF!</definedName>
    <definedName name="Census2010" localSheetId="7">#REF!</definedName>
    <definedName name="Census2010">#REF!</definedName>
    <definedName name="ColumnHeadings" localSheetId="5">#REF!</definedName>
    <definedName name="ColumnHeadings" localSheetId="6">#REF!</definedName>
    <definedName name="ColumnHeadings" localSheetId="8">#REF!</definedName>
    <definedName name="ColumnHeadings" localSheetId="7">#REF!</definedName>
    <definedName name="ColumnHeadings">#REF!</definedName>
    <definedName name="Corridor_Housing_Demand" localSheetId="5">#REF!</definedName>
    <definedName name="Corridor_Housing_Demand" localSheetId="6">#REF!</definedName>
    <definedName name="Corridor_Housing_Demand" localSheetId="8">#REF!</definedName>
    <definedName name="Corridor_Housing_Demand" localSheetId="7">#REF!</definedName>
    <definedName name="Corridor_Housing_Demand">#REF!</definedName>
    <definedName name="_xlnm.Criteria" localSheetId="5">#REF!</definedName>
    <definedName name="_xlnm.Criteria" localSheetId="6">#REF!</definedName>
    <definedName name="_xlnm.Criteria" localSheetId="8">#REF!</definedName>
    <definedName name="_xlnm.Criteria" localSheetId="7">#REF!</definedName>
    <definedName name="_xlnm.Criteria">#REF!</definedName>
    <definedName name="CURSLCON" localSheetId="5">#REF!</definedName>
    <definedName name="CURSLCON" localSheetId="6">#REF!</definedName>
    <definedName name="CURSLCON" localSheetId="8">#REF!</definedName>
    <definedName name="CURSLCON" localSheetId="7">#REF!</definedName>
    <definedName name="CURSLCON">#REF!</definedName>
    <definedName name="CURSLOFF" localSheetId="5">#REF!</definedName>
    <definedName name="CURSLOFF" localSheetId="6">#REF!</definedName>
    <definedName name="CURSLOFF" localSheetId="8">#REF!</definedName>
    <definedName name="CURSLOFF" localSheetId="7">#REF!</definedName>
    <definedName name="CURSLOFF">#REF!</definedName>
    <definedName name="Data" localSheetId="5">#REF!</definedName>
    <definedName name="Data" localSheetId="6">#REF!</definedName>
    <definedName name="Data" localSheetId="8">#REF!</definedName>
    <definedName name="Data" localSheetId="7">#REF!</definedName>
    <definedName name="Data">#REF!</definedName>
    <definedName name="_xlnm.Database" localSheetId="5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>#REF!</definedName>
    <definedName name="Database1" localSheetId="5">#REF!</definedName>
    <definedName name="Database1" localSheetId="6">#REF!</definedName>
    <definedName name="Database1" localSheetId="8">#REF!</definedName>
    <definedName name="Database1" localSheetId="7">#REF!</definedName>
    <definedName name="Database1">#REF!</definedName>
    <definedName name="dbase">[6]SANJOSE!$A$1:$H$405</definedName>
    <definedName name="DetOfCredLimitWaivReq">[7]Controls!$BF$41</definedName>
    <definedName name="down100" localSheetId="5">#REF!</definedName>
    <definedName name="down100" localSheetId="6">#REF!</definedName>
    <definedName name="down100" localSheetId="8">#REF!</definedName>
    <definedName name="down100" localSheetId="7">#REF!</definedName>
    <definedName name="down100">#REF!</definedName>
    <definedName name="down70" localSheetId="5">#REF!</definedName>
    <definedName name="down70" localSheetId="6">#REF!</definedName>
    <definedName name="down70" localSheetId="8">#REF!</definedName>
    <definedName name="down70" localSheetId="7">#REF!</definedName>
    <definedName name="down70">#REF!</definedName>
    <definedName name="e" localSheetId="5" hidden="1">'[3]TOT by Year'!#REF!</definedName>
    <definedName name="e" localSheetId="6" hidden="1">'[3]TOT by Year'!#REF!</definedName>
    <definedName name="e" localSheetId="8" hidden="1">'[3]TOT by Year'!#REF!</definedName>
    <definedName name="e" localSheetId="7" hidden="1">'[3]TOT by Year'!#REF!</definedName>
    <definedName name="e" hidden="1">'[3]TOT by Year'!#REF!</definedName>
    <definedName name="edd" localSheetId="5">#REF!</definedName>
    <definedName name="edd" localSheetId="6">#REF!</definedName>
    <definedName name="edd" localSheetId="8">#REF!</definedName>
    <definedName name="edd" localSheetId="7">#REF!</definedName>
    <definedName name="edd">#REF!</definedName>
    <definedName name="emp_proj" localSheetId="5">#REF!</definedName>
    <definedName name="emp_proj" localSheetId="6">#REF!</definedName>
    <definedName name="emp_proj" localSheetId="8">#REF!</definedName>
    <definedName name="emp_proj" localSheetId="7">#REF!</definedName>
    <definedName name="emp_proj">#REF!</definedName>
    <definedName name="estab_label">'[1]100K-250K'!$A$28</definedName>
    <definedName name="ETHNCTY">'[2]Table List'!$D$15</definedName>
    <definedName name="_xlnm.Extract" localSheetId="5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>#REF!</definedName>
    <definedName name="ExtrEOC_City_Rep" localSheetId="5">#REF!</definedName>
    <definedName name="ExtrEOC_City_Rep" localSheetId="6">#REF!</definedName>
    <definedName name="ExtrEOC_City_Rep" localSheetId="8">#REF!</definedName>
    <definedName name="ExtrEOC_City_Rep" localSheetId="7">#REF!</definedName>
    <definedName name="ExtrEOC_City_Rep">#REF!</definedName>
    <definedName name="f" localSheetId="5">#REF!</definedName>
    <definedName name="f" localSheetId="6">#REF!</definedName>
    <definedName name="f" localSheetId="8">#REF!</definedName>
    <definedName name="f" localSheetId="7">#REF!</definedName>
    <definedName name="f">#REF!</definedName>
    <definedName name="fiscal1a">Sites!$HP$1</definedName>
    <definedName name="g" localSheetId="5">#REF!</definedName>
    <definedName name="g" localSheetId="6">#REF!</definedName>
    <definedName name="g" localSheetId="8">#REF!</definedName>
    <definedName name="g" localSheetId="7">#REF!</definedName>
    <definedName name="g">#REF!</definedName>
    <definedName name="grades">'[8]lookup Table'!$A$15:$B$115</definedName>
    <definedName name="green" localSheetId="5">#REF!</definedName>
    <definedName name="green" localSheetId="6">#REF!</definedName>
    <definedName name="green" localSheetId="8">#REF!</definedName>
    <definedName name="green" localSheetId="7">#REF!</definedName>
    <definedName name="green">#REF!</definedName>
    <definedName name="h" localSheetId="5">#REF!</definedName>
    <definedName name="h" localSheetId="6">#REF!</definedName>
    <definedName name="h" localSheetId="8">#REF!</definedName>
    <definedName name="h" localSheetId="7">#REF!</definedName>
    <definedName name="h">#REF!</definedName>
    <definedName name="HFC_HI" hidden="1">{"'Sheet1'!$A$1:$B$1","'Sheet1'!$A$1:$I$38"}</definedName>
    <definedName name="HFC_HO" hidden="1">{"'Sheet1'!$A$1:$B$1","'Sheet1'!$A$1:$I$38"}</definedName>
    <definedName name="HFC_HO1" hidden="1">{"'Sheet1'!$A$1:$B$1","'Sheet1'!$A$1:$I$38"}</definedName>
    <definedName name="housing_demand" localSheetId="5">#REF!</definedName>
    <definedName name="housing_demand" localSheetId="6">#REF!</definedName>
    <definedName name="housing_demand" localSheetId="8">#REF!</definedName>
    <definedName name="housing_demand" localSheetId="7">#REF!</definedName>
    <definedName name="housing_demand">#REF!</definedName>
    <definedName name="HTML_CodePage" hidden="1">1252</definedName>
    <definedName name="HTML_Control" hidden="1">{"'Sheet1'!$A$1:$B$1","'Sheet1'!$A$1:$I$38"}</definedName>
    <definedName name="HTML_Control1" hidden="1">{"'Sheet1'!$A$1:$B$1","'Sheet1'!$A$1:$I$38"}</definedName>
    <definedName name="HTML_Description" hidden="1">""</definedName>
    <definedName name="HTML_Email" hidden="1">""</definedName>
    <definedName name="HTML_Header" hidden="1">""</definedName>
    <definedName name="HTML_LastUpdate" hidden="1">"07/29/1999"</definedName>
    <definedName name="HTML_LineAfter" hidden="1">FALSE</definedName>
    <definedName name="HTML_LineBefore" hidden="1">FALSE</definedName>
    <definedName name="HTML_Name" hidden="1">"WSHFC"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"C:\pisfinal.htm"</definedName>
    <definedName name="HTML_PathTemplate" hidden="1">"C:\diana\st\st05.htm"</definedName>
    <definedName name="HTML_Title" hidden="1">"PIS FINAL"</definedName>
    <definedName name="i" localSheetId="5">#REF!</definedName>
    <definedName name="i" localSheetId="6">#REF!</definedName>
    <definedName name="i" localSheetId="8">#REF!</definedName>
    <definedName name="i" localSheetId="7">#REF!</definedName>
    <definedName name="i">#REF!</definedName>
    <definedName name="Implan_NAICS">'[9]Imp Detail for  Emp-new rental'!$A$6:$B$445</definedName>
    <definedName name="infl90">[10]CPI!$C$15</definedName>
    <definedName name="infl91">[10]CPI!$C$14</definedName>
    <definedName name="infl92">[10]CPI!$C$13</definedName>
    <definedName name="infl93">[10]CPI!$C$12</definedName>
    <definedName name="infl94">[10]CPI!$C$11</definedName>
    <definedName name="infl95">[10]CPI!$C$10</definedName>
    <definedName name="infl96">[10]CPI!$C$9</definedName>
    <definedName name="infl97">[10]CPI!$C$8</definedName>
    <definedName name="infl98">[10]CPI!$C$7</definedName>
    <definedName name="j" localSheetId="5">#REF!</definedName>
    <definedName name="j" localSheetId="6">#REF!</definedName>
    <definedName name="j" localSheetId="8">#REF!</definedName>
    <definedName name="j" localSheetId="7">#REF!</definedName>
    <definedName name="j">#REF!</definedName>
    <definedName name="job_bal" localSheetId="5">#REF!</definedName>
    <definedName name="job_bal" localSheetId="6">#REF!</definedName>
    <definedName name="job_bal" localSheetId="8">#REF!</definedName>
    <definedName name="job_bal" localSheetId="7">#REF!</definedName>
    <definedName name="job_bal">#REF!</definedName>
    <definedName name="k" localSheetId="5">#REF!</definedName>
    <definedName name="k" localSheetId="6">#REF!</definedName>
    <definedName name="k" localSheetId="8">#REF!</definedName>
    <definedName name="k" localSheetId="7">#REF!</definedName>
    <definedName name="k">#REF!</definedName>
    <definedName name="k100k250">'[1]100K-250K'!$A$4:$G$23</definedName>
    <definedName name="k250_k500">[1]K250_K500!$A$4:$G$26</definedName>
    <definedName name="k500_k1000">[1]K500_K1000!$A$4:$G$31</definedName>
    <definedName name="l" hidden="1">{#N/A,#N/A,FALSE,"Summary";#N/A,#N/A,FALSE,"trends2";#N/A,#N/A,FALSE,"SF_CBD";#N/A,#N/A,FALSE,"NFA";#N/A,#N/A,FALSE,"NFB";#N/A,#N/A,FALSE,"SFA";#N/A,#N/A,FALSE,"SFB";#N/A,#N/A,FALSE,"JSNW";#N/A,#N/A,FALSE,"SBRH";#N/A,#N/A,FALSE,"USQ";#N/A,#N/A,FALSE,"YB"}</definedName>
    <definedName name="Last_column" localSheetId="5">#REF!</definedName>
    <definedName name="Last_column" localSheetId="6">#REF!</definedName>
    <definedName name="Last_column" localSheetId="8">#REF!</definedName>
    <definedName name="Last_column" localSheetId="7">#REF!</definedName>
    <definedName name="Last_column">#REF!</definedName>
    <definedName name="Last_Row" localSheetId="5">#REF!</definedName>
    <definedName name="Last_Row" localSheetId="6">#REF!</definedName>
    <definedName name="Last_Row" localSheetId="8">#REF!</definedName>
    <definedName name="Last_Row" localSheetId="7">#REF!</definedName>
    <definedName name="Last_Row">#REF!</definedName>
    <definedName name="leakage" localSheetId="5">#REF!</definedName>
    <definedName name="leakage" localSheetId="6">#REF!</definedName>
    <definedName name="leakage" localSheetId="8">#REF!</definedName>
    <definedName name="leakage" localSheetId="7">#REF!</definedName>
    <definedName name="leakage">#REF!</definedName>
    <definedName name="loan_to_value" localSheetId="5">#REF!</definedName>
    <definedName name="loan_to_value" localSheetId="6">#REF!</definedName>
    <definedName name="loan_to_value" localSheetId="8">#REF!</definedName>
    <definedName name="loan_to_value" localSheetId="7">#REF!</definedName>
    <definedName name="loan_to_value">#REF!</definedName>
    <definedName name="m" hidden="1">{#N/A,#N/A,FALSE,"Summary";#N/A,#N/A,FALSE,"trends2";#N/A,#N/A,FALSE,"SF_CBD";#N/A,#N/A,FALSE,"NFA";#N/A,#N/A,FALSE,"NFB";#N/A,#N/A,FALSE,"SFA";#N/A,#N/A,FALSE,"SFB";#N/A,#N/A,FALSE,"JSNW";#N/A,#N/A,FALSE,"SBRH";#N/A,#N/A,FALSE,"USQ";#N/A,#N/A,FALSE,"YB"}</definedName>
    <definedName name="Market_Area_TAZ_Query" localSheetId="5">#REF!</definedName>
    <definedName name="Market_Area_TAZ_Query" localSheetId="6">#REF!</definedName>
    <definedName name="Market_Area_TAZ_Query" localSheetId="8">#REF!</definedName>
    <definedName name="Market_Area_TAZ_Query" localSheetId="7">#REF!</definedName>
    <definedName name="Market_Area_TAZ_Query">#REF!</definedName>
    <definedName name="Market_Area_Tract_Employment" localSheetId="5">#REF!</definedName>
    <definedName name="Market_Area_Tract_Employment" localSheetId="6">#REF!</definedName>
    <definedName name="Market_Area_Tract_Employment" localSheetId="8">#REF!</definedName>
    <definedName name="Market_Area_Tract_Employment" localSheetId="7">#REF!</definedName>
    <definedName name="Market_Area_Tract_Employment">#REF!</definedName>
    <definedName name="movership" localSheetId="5">#REF!</definedName>
    <definedName name="movership" localSheetId="6">#REF!</definedName>
    <definedName name="movership" localSheetId="8">#REF!</definedName>
    <definedName name="movership" localSheetId="7">#REF!</definedName>
    <definedName name="movership">#REF!</definedName>
    <definedName name="nhood_housing" localSheetId="5">#REF!</definedName>
    <definedName name="nhood_housing" localSheetId="6">#REF!</definedName>
    <definedName name="nhood_housing" localSheetId="8">#REF!</definedName>
    <definedName name="nhood_housing" localSheetId="7">#REF!</definedName>
    <definedName name="nhood_housing">#REF!</definedName>
    <definedName name="nhood_pop" localSheetId="5">#REF!</definedName>
    <definedName name="nhood_pop" localSheetId="6">#REF!</definedName>
    <definedName name="nhood_pop" localSheetId="8">#REF!</definedName>
    <definedName name="nhood_pop" localSheetId="7">#REF!</definedName>
    <definedName name="nhood_pop">#REF!</definedName>
    <definedName name="nhood_values" localSheetId="5">#REF!</definedName>
    <definedName name="nhood_values" localSheetId="6">#REF!</definedName>
    <definedName name="nhood_values" localSheetId="8">#REF!</definedName>
    <definedName name="nhood_values" localSheetId="7">#REF!</definedName>
    <definedName name="nhood_values">#REF!</definedName>
    <definedName name="Not_Available_Weighted_Average" localSheetId="5">'[4]Patrol Time Per Beat'!#REF!</definedName>
    <definedName name="Not_Available_Weighted_Average" localSheetId="6">'[4]Patrol Time Per Beat'!#REF!</definedName>
    <definedName name="Not_Available_Weighted_Average" localSheetId="8">'[4]Patrol Time Per Beat'!#REF!</definedName>
    <definedName name="Not_Available_Weighted_Average" localSheetId="7">'[4]Patrol Time Per Beat'!#REF!</definedName>
    <definedName name="Not_Available_Weighted_Average">'[4]Patrol Time Per Beat'!#REF!</definedName>
    <definedName name="note_a" localSheetId="5">#REF!</definedName>
    <definedName name="note_a" localSheetId="6">#REF!</definedName>
    <definedName name="note_a" localSheetId="8">#REF!</definedName>
    <definedName name="note_a" localSheetId="7">#REF!</definedName>
    <definedName name="note_a">#REF!</definedName>
    <definedName name="notyear">'[1]Not operated entire year'!$A$4:$G$22</definedName>
    <definedName name="Office_Market" hidden="1">{"'Sheet1'!$A$1:$B$1","'Sheet1'!$A$1:$I$38"}</definedName>
    <definedName name="onebed" localSheetId="5">#REF!</definedName>
    <definedName name="onebed" localSheetId="6">#REF!</definedName>
    <definedName name="onebed" localSheetId="8">#REF!</definedName>
    <definedName name="onebed" localSheetId="7">#REF!</definedName>
    <definedName name="onebed">#REF!</definedName>
    <definedName name="OutputAllData" localSheetId="5">#REF!</definedName>
    <definedName name="OutputAllData" localSheetId="6">#REF!</definedName>
    <definedName name="OutputAllData" localSheetId="8">#REF!</definedName>
    <definedName name="OutputAllData" localSheetId="7">#REF!</definedName>
    <definedName name="OutputAllData">#REF!</definedName>
    <definedName name="OutputColumnHeadings" localSheetId="5">#REF!</definedName>
    <definedName name="OutputColumnHeadings" localSheetId="6">#REF!</definedName>
    <definedName name="OutputColumnHeadings" localSheetId="8">#REF!</definedName>
    <definedName name="OutputColumnHeadings" localSheetId="7">#REF!</definedName>
    <definedName name="OutputColumnHeadings">#REF!</definedName>
    <definedName name="OutputDataFor" localSheetId="5">#REF!</definedName>
    <definedName name="OutputDataFor" localSheetId="6">#REF!</definedName>
    <definedName name="OutputDataFor" localSheetId="8">#REF!</definedName>
    <definedName name="OutputDataFor" localSheetId="7">#REF!</definedName>
    <definedName name="OutputDataFor">#REF!</definedName>
    <definedName name="OutputEmp_Ratio" localSheetId="5">#REF!</definedName>
    <definedName name="OutputEmp_Ratio" localSheetId="6">#REF!</definedName>
    <definedName name="OutputEmp_Ratio" localSheetId="8">#REF!</definedName>
    <definedName name="OutputEmp_Ratio" localSheetId="7">#REF!</definedName>
    <definedName name="OutputEmp_Ratio">#REF!</definedName>
    <definedName name="OutputHeader1" localSheetId="5">#REF!</definedName>
    <definedName name="OutputHeader1" localSheetId="6">#REF!</definedName>
    <definedName name="OutputHeader1" localSheetId="8">#REF!</definedName>
    <definedName name="OutputHeader1" localSheetId="7">#REF!</definedName>
    <definedName name="OutputHeader1">#REF!</definedName>
    <definedName name="OutputHeader2" localSheetId="5">#REF!</definedName>
    <definedName name="OutputHeader2" localSheetId="6">#REF!</definedName>
    <definedName name="OutputHeader2" localSheetId="8">#REF!</definedName>
    <definedName name="OutputHeader2" localSheetId="7">#REF!</definedName>
    <definedName name="OutputHeader2">#REF!</definedName>
    <definedName name="OutputHeader3" localSheetId="5">#REF!</definedName>
    <definedName name="OutputHeader3" localSheetId="6">#REF!</definedName>
    <definedName name="OutputHeader3" localSheetId="8">#REF!</definedName>
    <definedName name="OutputHeader3" localSheetId="7">#REF!</definedName>
    <definedName name="OutputHeader3">#REF!</definedName>
    <definedName name="OutputNote1" localSheetId="5">#REF!</definedName>
    <definedName name="OutputNote1" localSheetId="6">#REF!</definedName>
    <definedName name="OutputNote1" localSheetId="8">#REF!</definedName>
    <definedName name="OutputNote1" localSheetId="7">#REF!</definedName>
    <definedName name="OutputNote1">#REF!</definedName>
    <definedName name="OutputRatioHeadings" localSheetId="5">#REF!</definedName>
    <definedName name="OutputRatioHeadings" localSheetId="6">#REF!</definedName>
    <definedName name="OutputRatioHeadings" localSheetId="8">#REF!</definedName>
    <definedName name="OutputRatioHeadings" localSheetId="7">#REF!</definedName>
    <definedName name="OutputRatioHeadings">#REF!</definedName>
    <definedName name="OutputTitle1" localSheetId="5">#REF!</definedName>
    <definedName name="OutputTitle1" localSheetId="6">#REF!</definedName>
    <definedName name="OutputTitle1" localSheetId="8">#REF!</definedName>
    <definedName name="OutputTitle1" localSheetId="7">#REF!</definedName>
    <definedName name="OutputTitle1">#REF!</definedName>
    <definedName name="OutputTitle2" localSheetId="5">#REF!</definedName>
    <definedName name="OutputTitle2" localSheetId="6">#REF!</definedName>
    <definedName name="OutputTitle2" localSheetId="8">#REF!</definedName>
    <definedName name="OutputTitle2" localSheetId="7">#REF!</definedName>
    <definedName name="OutputTitle2">#REF!</definedName>
    <definedName name="OutputTitle3" localSheetId="5">#REF!</definedName>
    <definedName name="OutputTitle3" localSheetId="6">#REF!</definedName>
    <definedName name="OutputTitle3" localSheetId="8">#REF!</definedName>
    <definedName name="OutputTitle3" localSheetId="7">#REF!</definedName>
    <definedName name="OutputTitle3">#REF!</definedName>
    <definedName name="OutputTitle4" localSheetId="5">#REF!</definedName>
    <definedName name="OutputTitle4" localSheetId="6">#REF!</definedName>
    <definedName name="OutputTitle4" localSheetId="8">#REF!</definedName>
    <definedName name="OutputTitle4" localSheetId="7">#REF!</definedName>
    <definedName name="OutputTitle4">#REF!</definedName>
    <definedName name="OutputTitle5" localSheetId="5">#REF!</definedName>
    <definedName name="OutputTitle5" localSheetId="6">#REF!</definedName>
    <definedName name="OutputTitle5" localSheetId="8">#REF!</definedName>
    <definedName name="OutputTitle5" localSheetId="7">#REF!</definedName>
    <definedName name="OutputTitle5">#REF!</definedName>
    <definedName name="ov_hd" localSheetId="5">#REF!</definedName>
    <definedName name="ov_hd" localSheetId="6">#REF!</definedName>
    <definedName name="ov_hd" localSheetId="8">#REF!</definedName>
    <definedName name="ov_hd" localSheetId="7">#REF!</definedName>
    <definedName name="ov_hd">#REF!</definedName>
    <definedName name="PAGE10">#N/A</definedName>
    <definedName name="PAGE11">#N/A</definedName>
    <definedName name="PAGE12">#N/A</definedName>
    <definedName name="PAGE13">#N/A</definedName>
    <definedName name="PAGE6">#N/A</definedName>
    <definedName name="PAGE7">#N/A</definedName>
    <definedName name="PAGE8">#N/A</definedName>
    <definedName name="PAGE9">#N/A</definedName>
    <definedName name="paul" hidden="1">{"'Sheet1'!$A$1:$B$1","'Sheet1'!$A$1:$I$38"}</definedName>
    <definedName name="per_capita_comparison" localSheetId="5">#REF!</definedName>
    <definedName name="per_capita_comparison" localSheetId="6">#REF!</definedName>
    <definedName name="per_capita_comparison" localSheetId="8">#REF!</definedName>
    <definedName name="per_capita_comparison" localSheetId="7">#REF!</definedName>
    <definedName name="per_capita_comparison">#REF!</definedName>
    <definedName name="PLMKTRES" localSheetId="5">#REF!</definedName>
    <definedName name="PLMKTRES" localSheetId="6">#REF!</definedName>
    <definedName name="PLMKTRES" localSheetId="8">#REF!</definedName>
    <definedName name="PLMKTRES" localSheetId="7">#REF!</definedName>
    <definedName name="PLMKTRES">#REF!</definedName>
    <definedName name="PLPRPOFF" localSheetId="5">#REF!</definedName>
    <definedName name="PLPRPOFF" localSheetId="6">#REF!</definedName>
    <definedName name="PLPRPOFF" localSheetId="8">#REF!</definedName>
    <definedName name="PLPRPOFF" localSheetId="7">#REF!</definedName>
    <definedName name="PLPRPOFF">#REF!</definedName>
    <definedName name="PLPRRET" localSheetId="5">#REF!</definedName>
    <definedName name="PLPRRET" localSheetId="6">#REF!</definedName>
    <definedName name="PLPRRET" localSheetId="8">#REF!</definedName>
    <definedName name="PLPRRET" localSheetId="7">#REF!</definedName>
    <definedName name="PLPRRET">#REF!</definedName>
    <definedName name="points" localSheetId="5">#REF!</definedName>
    <definedName name="points" localSheetId="6">#REF!</definedName>
    <definedName name="points" localSheetId="8">#REF!</definedName>
    <definedName name="points" localSheetId="7">#REF!</definedName>
    <definedName name="points">#REF!</definedName>
    <definedName name="_xlnm.Print_Area" localSheetId="5">'CWN June'!$A$1:$AA$48</definedName>
    <definedName name="_xlnm.Print_Area" localSheetId="6">'Guillen-Kaplan'!$A$1:$AG$50</definedName>
    <definedName name="_xlnm.Print_Area" localSheetId="8">'Guillen-Kaplan_60%'!$A$1:$AG$50</definedName>
    <definedName name="_xlnm.Print_Area" localSheetId="17">'NOFA Budget'!$A$1:$U$118</definedName>
    <definedName name="_xlnm.Print_Area" localSheetId="7">'SLA minimum'!$A$1:$Y$46</definedName>
    <definedName name="_xlnm.Print_Area" localSheetId="4">'Staff Strategy'!$A$1:$Y$48</definedName>
    <definedName name="_xlnm.Print_Area" localSheetId="1">Summary!$A$1:$P$55</definedName>
    <definedName name="_xlnm.Print_Area">#REF!</definedName>
    <definedName name="Print_Area_MI" localSheetId="5">#REF!</definedName>
    <definedName name="Print_Area_MI" localSheetId="6">#REF!</definedName>
    <definedName name="Print_Area_MI" localSheetId="8">#REF!</definedName>
    <definedName name="Print_Area_MI" localSheetId="7">#REF!</definedName>
    <definedName name="Print_Area_MI">#REF!</definedName>
    <definedName name="_xlnm.Print_Titles" localSheetId="17">'NOFA Budget'!$A:$A,'NOFA Budget'!$2:$7</definedName>
    <definedName name="_xlnm.Print_Titles" localSheetId="3">Sites!$1:$4</definedName>
    <definedName name="_xlnm.Print_Titles" localSheetId="1">Summary!$3:$10</definedName>
    <definedName name="Printarea2">'[1]F3 Taxable Sales Compared'!$M$1:$W$70</definedName>
    <definedName name="qryE5Cityrpt" localSheetId="5">#REF!</definedName>
    <definedName name="qryE5Cityrpt" localSheetId="6">#REF!</definedName>
    <definedName name="qryE5Cityrpt" localSheetId="8">#REF!</definedName>
    <definedName name="qryE5Cityrpt" localSheetId="7">#REF!</definedName>
    <definedName name="qryE5Cityrpt">#REF!</definedName>
    <definedName name="qryE5inc" localSheetId="5">#REF!</definedName>
    <definedName name="qryE5inc" localSheetId="6">#REF!</definedName>
    <definedName name="qryE5inc" localSheetId="8">#REF!</definedName>
    <definedName name="qryE5inc" localSheetId="7">#REF!</definedName>
    <definedName name="qryE5inc">#REF!</definedName>
    <definedName name="Query16" localSheetId="5">#REF!</definedName>
    <definedName name="Query16" localSheetId="6">#REF!</definedName>
    <definedName name="Query16" localSheetId="8">#REF!</definedName>
    <definedName name="Query16" localSheetId="7">#REF!</definedName>
    <definedName name="Query16">#REF!</definedName>
    <definedName name="Query17" localSheetId="5">#REF!</definedName>
    <definedName name="Query17" localSheetId="6">#REF!</definedName>
    <definedName name="Query17" localSheetId="8">#REF!</definedName>
    <definedName name="Query17" localSheetId="7">#REF!</definedName>
    <definedName name="Query17">#REF!</definedName>
    <definedName name="rate" localSheetId="5">#REF!</definedName>
    <definedName name="rate" localSheetId="6">#REF!</definedName>
    <definedName name="rate" localSheetId="8">#REF!</definedName>
    <definedName name="rate" localSheetId="7">#REF!</definedName>
    <definedName name="rate">#REF!</definedName>
    <definedName name="recent_sales_trends" localSheetId="5">#REF!</definedName>
    <definedName name="recent_sales_trends" localSheetId="6">#REF!</definedName>
    <definedName name="recent_sales_trends" localSheetId="8">#REF!</definedName>
    <definedName name="recent_sales_trends" localSheetId="7">#REF!</definedName>
    <definedName name="recent_sales_trends">#REF!</definedName>
    <definedName name="RESIDGSF" localSheetId="5">#REF!</definedName>
    <definedName name="RESIDGSF" localSheetId="6">#REF!</definedName>
    <definedName name="RESIDGSF" localSheetId="8">#REF!</definedName>
    <definedName name="RESIDGSF" localSheetId="7">#REF!</definedName>
    <definedName name="RESIDGSF">#REF!</definedName>
    <definedName name="RESIDNSF" localSheetId="5">#REF!</definedName>
    <definedName name="RESIDNSF" localSheetId="6">#REF!</definedName>
    <definedName name="RESIDNSF" localSheetId="8">#REF!</definedName>
    <definedName name="RESIDNSF" localSheetId="7">#REF!</definedName>
    <definedName name="RESIDNSF">#REF!</definedName>
    <definedName name="sales_trends" localSheetId="5">#REF!</definedName>
    <definedName name="sales_trends" localSheetId="6">#REF!</definedName>
    <definedName name="sales_trends" localSheetId="8">#REF!</definedName>
    <definedName name="sales_trends" localSheetId="7">#REF!</definedName>
    <definedName name="sales_trends">#REF!</definedName>
    <definedName name="scores">'[11]matrix II'!$F$5:$G$5,'[11]matrix II'!$L$5:$S$5,'[11]matrix II'!$C$5:$K$5</definedName>
    <definedName name="Senior" localSheetId="5">#REF!</definedName>
    <definedName name="Senior" localSheetId="6">#REF!</definedName>
    <definedName name="Senior" localSheetId="8">#REF!</definedName>
    <definedName name="Senior" localSheetId="7">#REF!</definedName>
    <definedName name="Senior">#REF!</definedName>
    <definedName name="stock" localSheetId="5">#REF!</definedName>
    <definedName name="stock" localSheetId="6">#REF!</definedName>
    <definedName name="stock" localSheetId="8">#REF!</definedName>
    <definedName name="stock" localSheetId="7">#REF!</definedName>
    <definedName name="stock">#REF!</definedName>
    <definedName name="Studio" localSheetId="5">#REF!</definedName>
    <definedName name="Studio" localSheetId="6">#REF!</definedName>
    <definedName name="Studio" localSheetId="8">#REF!</definedName>
    <definedName name="Studio" localSheetId="7">#REF!</definedName>
    <definedName name="Studio">#REF!</definedName>
    <definedName name="supermarket">'[12]Center data'!$E$34</definedName>
    <definedName name="T" localSheetId="5">#REF!</definedName>
    <definedName name="T" localSheetId="6">#REF!</definedName>
    <definedName name="T" localSheetId="8">#REF!</definedName>
    <definedName name="T" localSheetId="7">#REF!</definedName>
    <definedName name="T">#REF!</definedName>
    <definedName name="TABD">'[2]Table List'!$D$15</definedName>
    <definedName name="tabx">'[2]Table List'!$D$15</definedName>
    <definedName name="taby">'[2]Table List'!$D$15</definedName>
    <definedName name="tax_ex" localSheetId="5">'[13]Prop Tax Alloc'!#REF!</definedName>
    <definedName name="tax_ex" localSheetId="6">'[13]Prop Tax Alloc'!#REF!</definedName>
    <definedName name="tax_ex" localSheetId="8">'[13]Prop Tax Alloc'!#REF!</definedName>
    <definedName name="tax_ex" localSheetId="7">'[13]Prop Tax Alloc'!#REF!</definedName>
    <definedName name="tax_ex">'[13]Prop Tax Alloc'!#REF!</definedName>
    <definedName name="tdc" localSheetId="5">#REF!</definedName>
    <definedName name="tdc" localSheetId="6">#REF!</definedName>
    <definedName name="tdc" localSheetId="8">#REF!</definedName>
    <definedName name="tdc" localSheetId="7">#REF!</definedName>
    <definedName name="tdc">#REF!</definedName>
    <definedName name="threebed" localSheetId="5">#REF!</definedName>
    <definedName name="threebed" localSheetId="6">#REF!</definedName>
    <definedName name="threebed" localSheetId="8">#REF!</definedName>
    <definedName name="threebed" localSheetId="7">#REF!</definedName>
    <definedName name="threebed">#REF!</definedName>
    <definedName name="Title" localSheetId="5">#REF!</definedName>
    <definedName name="Title" localSheetId="6">#REF!</definedName>
    <definedName name="Title" localSheetId="8">#REF!</definedName>
    <definedName name="Title" localSheetId="7">#REF!</definedName>
    <definedName name="Title">#REF!</definedName>
    <definedName name="twobed" localSheetId="5">#REF!</definedName>
    <definedName name="twobed" localSheetId="6">#REF!</definedName>
    <definedName name="twobed" localSheetId="8">#REF!</definedName>
    <definedName name="twobed" localSheetId="7">#REF!</definedName>
    <definedName name="twobed">#REF!</definedName>
    <definedName name="underuse" localSheetId="5">#REF!</definedName>
    <definedName name="underuse" localSheetId="6">#REF!</definedName>
    <definedName name="underuse" localSheetId="8">#REF!</definedName>
    <definedName name="underuse" localSheetId="7">#REF!</definedName>
    <definedName name="underuse">#REF!</definedName>
    <definedName name="underuse_by_subarea" localSheetId="5">#REF!</definedName>
    <definedName name="underuse_by_subarea" localSheetId="6">#REF!</definedName>
    <definedName name="underuse_by_subarea" localSheetId="8">#REF!</definedName>
    <definedName name="underuse_by_subarea" localSheetId="7">#REF!</definedName>
    <definedName name="underuse_by_subarea">#REF!</definedName>
    <definedName name="UNIT" localSheetId="5">#REF!</definedName>
    <definedName name="UNIT" localSheetId="6">#REF!</definedName>
    <definedName name="UNIT" localSheetId="8">#REF!</definedName>
    <definedName name="UNIT" localSheetId="7">#REF!</definedName>
    <definedName name="UNIT">#REF!</definedName>
    <definedName name="units" localSheetId="5">#REF!</definedName>
    <definedName name="units" localSheetId="6">#REF!</definedName>
    <definedName name="units" localSheetId="8">#REF!</definedName>
    <definedName name="units" localSheetId="7">#REF!</definedName>
    <definedName name="units">#REF!</definedName>
    <definedName name="use_by_subarea" localSheetId="5">#REF!</definedName>
    <definedName name="use_by_subarea" localSheetId="6">#REF!</definedName>
    <definedName name="use_by_subarea" localSheetId="8">#REF!</definedName>
    <definedName name="use_by_subarea" localSheetId="7">#REF!</definedName>
    <definedName name="use_by_subarea">#REF!</definedName>
    <definedName name="values" localSheetId="5">'[11]matrix II'!#REF!</definedName>
    <definedName name="values" localSheetId="6">'[11]matrix II'!#REF!</definedName>
    <definedName name="values" localSheetId="8">'[11]matrix II'!#REF!</definedName>
    <definedName name="values" localSheetId="7">'[11]matrix II'!#REF!</definedName>
    <definedName name="values">'[11]matrix II'!#REF!</definedName>
    <definedName name="wrn.Bay._.Meadows." hidden="1">{#N/A,#N/A,FALSE,"Development Program";#N/A,#N/A,FALSE,"Service Pop";#N/A,#N/A,FALSE,"Police";#N/A,#N/A,FALSE,"Public Works";#N/A,#N/A,FALSE,"Communications";#N/A,#N/A,FALSE,"Planning";#N/A,#N/A,FALSE,"Parks &amp; Rec";#N/A,#N/A,FALSE,"Library";#N/A,#N/A,FALSE,"GenGov";#N/A,#N/A,FALSE,"Prop. Value";#N/A,#N/A,FALSE,"Property Tax";#N/A,#N/A,FALSE,"Sales Tax";#N/A,#N/A,FALSE,"Property Transfer Tax";#N/A,#N/A,FALSE,"TOT Tax";#N/A,#N/A,FALSE,"Business Lic.";#N/A,#N/A,FALSE,"Other Revenue";#N/A,#N/A,FALSE,"Fiscal Summary";#N/A,#N/A,FALSE,"Appendix A"}</definedName>
    <definedName name="wrn.Full._.Report." hidden="1">{#N/A,#N/A,FALSE,"Summary";#N/A,#N/A,FALSE,"trends2";#N/A,#N/A,FALSE,"SF_CBD";#N/A,#N/A,FALSE,"NFA";#N/A,#N/A,FALSE,"NFB";#N/A,#N/A,FALSE,"SFA";#N/A,#N/A,FALSE,"SFB";#N/A,#N/A,FALSE,"JSNW";#N/A,#N/A,FALSE,"SBRH";#N/A,#N/A,FALSE,"USQ";#N/A,#N/A,FALSE,"YB"}</definedName>
    <definedName name="wrn.Printout." hidden="1">{#N/A,#N/A,FALSE,"County";#N/A,#N/A,FALSE,"Fiscal Impacts";#N/A,#N/A,FALSE,"Genrl Govt.";#N/A,#N/A,FALSE,"Community Development";#N/A,#N/A,FALSE,"Community Services";#N/A,#N/A,FALSE,"Police &amp; Fire";#N/A,#N/A,FALSE,"Comps";#N/A,#N/A,FALSE,"Residential Property";#N/A,#N/A,FALSE,"Property Tax Calc.";#N/A,#N/A,FALSE,"Revenue Distribution, Post Annx";#N/A,#N/A,FALSE,"Revenue Distribution, Pre Annx";#N/A,#N/A,FALSE,"Other Revenue";#N/A,#N/A,FALSE,"Sales Tax";#N/A,#N/A,FALSE,"Service Population";#N/A,#N/A,FALSE,"Property Taxes";#N/A,#N/A,FALSE,"TRA w ERAF"}</definedName>
    <definedName name="wrn.Summary._.Report." hidden="1">{#N/A,#N/A,FALSE,"MktSmry";#N/A,#N/A,FALSE,"Hist";"Condensed",#N/A,FALSE,"SVly"}</definedName>
    <definedName name="wrn.Total._.Report." hidden="1">{#N/A,#N/A,FALSE,"MktSmry";#N/A,#N/A,FALSE,"Hist";#N/A,#N/A,FALSE,"SVly";#N/A,#N/A,FALSE,"RWC";#N/A,#N/A,FALSE,"MP";#N/A,#N/A,FALSE,"PA";#N/A,#N/A,FALSE,"MV";#N/A,#N/A,FALSE,"CUP";#N/A,#N/A,FALSE,"WEST";#N/A,#N/A,FALSE,"SV";#N/A,#N/A,FALSE,"SC";#N/A,#N/A,FALSE,"SJ";#N/A,#N/A,FALSE,"MIL";#N/A,#N/A,FALSE,"FRE";#N/A,#N/A,FALSE,"NWK";#N/A,#N/A,FALSE,"MHG"}</definedName>
    <definedName name="x" localSheetId="5" hidden="1">'[3]TOT by Year'!#REF!</definedName>
    <definedName name="x" localSheetId="6" hidden="1">'[3]TOT by Year'!#REF!</definedName>
    <definedName name="x" localSheetId="8" hidden="1">'[3]TOT by Year'!#REF!</definedName>
    <definedName name="x" localSheetId="7" hidden="1">'[3]TOT by Year'!#REF!</definedName>
    <definedName name="x" hidden="1">'[3]TOT by Year'!#REF!</definedName>
    <definedName name="xbp_100_249">[1]ZBP_100_249!$A$5:$H$37</definedName>
    <definedName name="XISTRETL" localSheetId="5">#REF!</definedName>
    <definedName name="XISTRETL" localSheetId="6">#REF!</definedName>
    <definedName name="XISTRETL" localSheetId="8">#REF!</definedName>
    <definedName name="XISTRETL" localSheetId="7">#REF!</definedName>
    <definedName name="XISTRETL">#REF!</definedName>
    <definedName name="XISTUNIT" localSheetId="5">#REF!</definedName>
    <definedName name="XISTUNIT" localSheetId="6">#REF!</definedName>
    <definedName name="XISTUNIT" localSheetId="8">#REF!</definedName>
    <definedName name="XISTUNIT" localSheetId="7">#REF!</definedName>
    <definedName name="XISTUNIT">#REF!</definedName>
    <definedName name="xy" localSheetId="5" hidden="1">'[3]TOT by Year'!#REF!</definedName>
    <definedName name="xy" localSheetId="6" hidden="1">'[3]TOT by Year'!#REF!</definedName>
    <definedName name="xy" localSheetId="8" hidden="1">'[3]TOT by Year'!#REF!</definedName>
    <definedName name="xy" localSheetId="7" hidden="1">'[3]TOT by Year'!#REF!</definedName>
    <definedName name="xy" hidden="1">'[3]TOT by Year'!#REF!</definedName>
    <definedName name="y" localSheetId="5" hidden="1">'[3]TOT by Year'!#REF!</definedName>
    <definedName name="y" localSheetId="6" hidden="1">'[3]TOT by Year'!#REF!</definedName>
    <definedName name="y" localSheetId="8" hidden="1">'[3]TOT by Year'!#REF!</definedName>
    <definedName name="y" localSheetId="7" hidden="1">'[3]TOT by Year'!#REF!</definedName>
    <definedName name="y" hidden="1">'[3]TOT by Year'!#REF!</definedName>
    <definedName name="year" localSheetId="5">#REF!</definedName>
    <definedName name="year" localSheetId="6">#REF!</definedName>
    <definedName name="year" localSheetId="8">#REF!</definedName>
    <definedName name="year" localSheetId="7">#REF!</definedName>
    <definedName name="year">#REF!</definedName>
    <definedName name="years" localSheetId="5">#REF!</definedName>
    <definedName name="years" localSheetId="6">#REF!</definedName>
    <definedName name="years" localSheetId="8">#REF!</definedName>
    <definedName name="years" localSheetId="7">#REF!</definedName>
    <definedName name="years">#REF!</definedName>
    <definedName name="z" localSheetId="5">#REF!</definedName>
    <definedName name="z" localSheetId="6">#REF!</definedName>
    <definedName name="z" localSheetId="8">#REF!</definedName>
    <definedName name="z" localSheetId="7">#REF!</definedName>
    <definedName name="z">#REF!</definedName>
    <definedName name="Z_105E85B8_9A7A_4110_9634_CB22952476CC_.wvu.Cols" localSheetId="1" hidden="1">Summary!$C:$P,Summary!$O:$P</definedName>
    <definedName name="Z_105E85B8_9A7A_4110_9634_CB22952476CC_.wvu.FilterData" localSheetId="3" hidden="1">Sites!$A$4:$IH$28</definedName>
    <definedName name="Z_105E85B8_9A7A_4110_9634_CB22952476CC_.wvu.PrintArea" localSheetId="17" hidden="1">'NOFA Budget'!$A$1:$U$118</definedName>
    <definedName name="Z_105E85B8_9A7A_4110_9634_CB22952476CC_.wvu.PrintArea" localSheetId="1" hidden="1">Summary!$A$3:$P$55</definedName>
    <definedName name="Z_105E85B8_9A7A_4110_9634_CB22952476CC_.wvu.PrintTitles" localSheetId="17" hidden="1">'NOFA Budget'!$A:$A,'NOFA Budget'!$2:$7</definedName>
    <definedName name="Z_105E85B8_9A7A_4110_9634_CB22952476CC_.wvu.PrintTitles" localSheetId="3" hidden="1">Sites!$1:$4</definedName>
    <definedName name="Z_105E85B8_9A7A_4110_9634_CB22952476CC_.wvu.PrintTitles" localSheetId="1" hidden="1">Summary!$3:$10</definedName>
    <definedName name="Z_105E85B8_9A7A_4110_9634_CB22952476CC_.wvu.Rows" localSheetId="1" hidden="1">Summary!$6:$9,Summary!$36:$42,Summary!$55:$55</definedName>
    <definedName name="Z_12DF92E2_F0A4_4522_953F_2BCAD962F9B1_.wvu.Cols" localSheetId="5" hidden="1">'CWN June'!$AD:$AD</definedName>
    <definedName name="Z_12DF92E2_F0A4_4522_953F_2BCAD962F9B1_.wvu.Cols" localSheetId="4" hidden="1">'Staff Strategy'!$B:$B,'Staff Strategy'!$D:$D,'Staff Strategy'!$F:$F,'Staff Strategy'!$H:$H,'Staff Strategy'!$J:$T,'Staff Strategy'!$V:$V</definedName>
    <definedName name="Z_12DF92E2_F0A4_4522_953F_2BCAD962F9B1_.wvu.FilterData" localSheetId="3" hidden="1">Sites!$A$4:$IH$28</definedName>
    <definedName name="Z_12DF92E2_F0A4_4522_953F_2BCAD962F9B1_.wvu.PrintArea" localSheetId="5" hidden="1">'CWN June'!$A$1:$Y$48</definedName>
    <definedName name="Z_12DF92E2_F0A4_4522_953F_2BCAD962F9B1_.wvu.PrintArea" localSheetId="6" hidden="1">'Guillen-Kaplan'!$A$1:$AE$50</definedName>
    <definedName name="Z_12DF92E2_F0A4_4522_953F_2BCAD962F9B1_.wvu.PrintArea" localSheetId="8" hidden="1">'Guillen-Kaplan_60%'!$A$1:$AE$50</definedName>
    <definedName name="Z_12DF92E2_F0A4_4522_953F_2BCAD962F9B1_.wvu.PrintArea" localSheetId="17" hidden="1">'NOFA Budget'!$A$1:$U$118</definedName>
    <definedName name="Z_12DF92E2_F0A4_4522_953F_2BCAD962F9B1_.wvu.PrintArea" localSheetId="7" hidden="1">'SLA minimum'!$A$1:$W$46</definedName>
    <definedName name="Z_12DF92E2_F0A4_4522_953F_2BCAD962F9B1_.wvu.PrintArea" localSheetId="4" hidden="1">'Staff Strategy'!$A$4:$W$40</definedName>
    <definedName name="Z_12DF92E2_F0A4_4522_953F_2BCAD962F9B1_.wvu.PrintArea" localSheetId="1" hidden="1">Summary!$A$3:$P$55</definedName>
    <definedName name="Z_12DF92E2_F0A4_4522_953F_2BCAD962F9B1_.wvu.PrintTitles" localSheetId="17" hidden="1">'NOFA Budget'!$A:$A,'NOFA Budget'!$2:$7</definedName>
    <definedName name="Z_12DF92E2_F0A4_4522_953F_2BCAD962F9B1_.wvu.PrintTitles" localSheetId="3" hidden="1">Sites!$1:$4</definedName>
    <definedName name="Z_12DF92E2_F0A4_4522_953F_2BCAD962F9B1_.wvu.PrintTitles" localSheetId="1" hidden="1">Summary!$3:$10</definedName>
    <definedName name="Z_12DF92E2_F0A4_4522_953F_2BCAD962F9B1_.wvu.Rows" localSheetId="2" hidden="1">'Key Results'!$6:$6</definedName>
    <definedName name="Z_12DF92E2_F0A4_4522_953F_2BCAD962F9B1_.wvu.Rows" localSheetId="1" hidden="1">Summary!$6:$9,Summary!#REF!</definedName>
    <definedName name="Z_1CB7F20C_5BCB_4F31_A665_EF07F93D0225_.wvu.Cols" localSheetId="5" hidden="1">'CWN June'!$AD:$AD</definedName>
    <definedName name="Z_1CB7F20C_5BCB_4F31_A665_EF07F93D0225_.wvu.Cols" localSheetId="7" hidden="1">'SLA minimum'!$B:$B,'SLA minimum'!$D:$D,'SLA minimum'!$F:$F,'SLA minimum'!$H:$H,'SLA minimum'!$J:$T,'SLA minimum'!$V:$V</definedName>
    <definedName name="Z_1CB7F20C_5BCB_4F31_A665_EF07F93D0225_.wvu.FilterData" localSheetId="3" hidden="1">Sites!$A$4:$IH$28</definedName>
    <definedName name="Z_1CB7F20C_5BCB_4F31_A665_EF07F93D0225_.wvu.PrintArea" localSheetId="5" hidden="1">'CWN June'!$A$1:$Y$48</definedName>
    <definedName name="Z_1CB7F20C_5BCB_4F31_A665_EF07F93D0225_.wvu.PrintArea" localSheetId="6" hidden="1">'Guillen-Kaplan'!$A$1:$AE$50</definedName>
    <definedName name="Z_1CB7F20C_5BCB_4F31_A665_EF07F93D0225_.wvu.PrintArea" localSheetId="8" hidden="1">'Guillen-Kaplan_60%'!$A$1:$AE$50</definedName>
    <definedName name="Z_1CB7F20C_5BCB_4F31_A665_EF07F93D0225_.wvu.PrintArea" localSheetId="17" hidden="1">'NOFA Budget'!$A$1:$U$118</definedName>
    <definedName name="Z_1CB7F20C_5BCB_4F31_A665_EF07F93D0225_.wvu.PrintArea" localSheetId="7" hidden="1">'SLA minimum'!$A$4:$W$39</definedName>
    <definedName name="Z_1CB7F20C_5BCB_4F31_A665_EF07F93D0225_.wvu.PrintArea" localSheetId="4" hidden="1">'Staff Strategy'!$A$1:$W$48</definedName>
    <definedName name="Z_1CB7F20C_5BCB_4F31_A665_EF07F93D0225_.wvu.PrintArea" localSheetId="1" hidden="1">Summary!$A$3:$P$55</definedName>
    <definedName name="Z_1CB7F20C_5BCB_4F31_A665_EF07F93D0225_.wvu.PrintTitles" localSheetId="17" hidden="1">'NOFA Budget'!$A:$A,'NOFA Budget'!$2:$7</definedName>
    <definedName name="Z_1CB7F20C_5BCB_4F31_A665_EF07F93D0225_.wvu.PrintTitles" localSheetId="3" hidden="1">Sites!$1:$4</definedName>
    <definedName name="Z_1CB7F20C_5BCB_4F31_A665_EF07F93D0225_.wvu.PrintTitles" localSheetId="1" hidden="1">Summary!$3:$10</definedName>
    <definedName name="Z_1CB7F20C_5BCB_4F31_A665_EF07F93D0225_.wvu.Rows" localSheetId="2" hidden="1">'Key Results'!$6:$6</definedName>
    <definedName name="Z_1CB7F20C_5BCB_4F31_A665_EF07F93D0225_.wvu.Rows" localSheetId="1" hidden="1">Summary!$6:$9,Summary!#REF!</definedName>
    <definedName name="Z_3D995FFA_456E_4A0A_AF78_CD5180B1C163_.wvu.Cols" localSheetId="6" hidden="1">'Guillen-Kaplan'!$K:$N</definedName>
    <definedName name="Z_3D995FFA_456E_4A0A_AF78_CD5180B1C163_.wvu.Cols" localSheetId="8" hidden="1">'Guillen-Kaplan_60%'!$K:$N</definedName>
    <definedName name="Z_3D995FFA_456E_4A0A_AF78_CD5180B1C163_.wvu.FilterData" localSheetId="3" hidden="1">Sites!$A$4:$IH$28</definedName>
    <definedName name="Z_3D995FFA_456E_4A0A_AF78_CD5180B1C163_.wvu.PrintArea" localSheetId="5" hidden="1">'CWN June'!$A$1:$Y$48</definedName>
    <definedName name="Z_3D995FFA_456E_4A0A_AF78_CD5180B1C163_.wvu.PrintArea" localSheetId="6" hidden="1">'Guillen-Kaplan'!$A$1:$AE$50</definedName>
    <definedName name="Z_3D995FFA_456E_4A0A_AF78_CD5180B1C163_.wvu.PrintArea" localSheetId="8" hidden="1">'Guillen-Kaplan_60%'!$A$1:$AE$50</definedName>
    <definedName name="Z_3D995FFA_456E_4A0A_AF78_CD5180B1C163_.wvu.PrintArea" localSheetId="17" hidden="1">'NOFA Budget'!$A$1:$U$118</definedName>
    <definedName name="Z_3D995FFA_456E_4A0A_AF78_CD5180B1C163_.wvu.PrintArea" localSheetId="7" hidden="1">'SLA minimum'!$A$1:$W$46</definedName>
    <definedName name="Z_3D995FFA_456E_4A0A_AF78_CD5180B1C163_.wvu.PrintArea" localSheetId="4" hidden="1">'Staff Strategy'!$A$1:$W$48</definedName>
    <definedName name="Z_3D995FFA_456E_4A0A_AF78_CD5180B1C163_.wvu.PrintArea" localSheetId="1" hidden="1">Summary!$A$1:$P$55</definedName>
    <definedName name="Z_3D995FFA_456E_4A0A_AF78_CD5180B1C163_.wvu.PrintTitles" localSheetId="17" hidden="1">'NOFA Budget'!$A:$A,'NOFA Budget'!$2:$7</definedName>
    <definedName name="Z_3D995FFA_456E_4A0A_AF78_CD5180B1C163_.wvu.PrintTitles" localSheetId="3" hidden="1">Sites!$1:$4</definedName>
    <definedName name="Z_3D995FFA_456E_4A0A_AF78_CD5180B1C163_.wvu.PrintTitles" localSheetId="1" hidden="1">Summary!$3:$10</definedName>
    <definedName name="Z_3D995FFA_456E_4A0A_AF78_CD5180B1C163_.wvu.Rows" localSheetId="2" hidden="1">'Key Results'!$6:$6</definedName>
    <definedName name="Z_3D995FFA_456E_4A0A_AF78_CD5180B1C163_.wvu.Rows" localSheetId="1" hidden="1">Summary!$6:$9,Summary!#REF!,Summary!$44:$45</definedName>
    <definedName name="Z_3F467621_6324_4266_A1CB_A00C20E99D00_.wvu.Cols" localSheetId="3" hidden="1">Sites!$A:$A,Sites!$C:$U,Sites!$X:$AN,Sites!$AQ:$AS,Sites!$AV:$BB,Sites!$BE:$BM,Sites!#REF!,Sites!#REF!,Sites!#REF!,Sites!$BN:$BT,Sites!$BX:$CF,Sites!$CI:$CR,Sites!#REF!,Sites!#REF!,Sites!#REF!,Sites!$GO:$GU,Sites!$GY:$HF,Sites!$HH:$HO</definedName>
    <definedName name="Z_3F467621_6324_4266_A1CB_A00C20E99D00_.wvu.FilterData" localSheetId="3" hidden="1">Sites!$A$4:$IH$4</definedName>
    <definedName name="Z_3F467621_6324_4266_A1CB_A00C20E99D00_.wvu.PrintArea" localSheetId="17" hidden="1">'NOFA Budget'!$A$1:$U$118</definedName>
    <definedName name="Z_3F467621_6324_4266_A1CB_A00C20E99D00_.wvu.PrintArea" localSheetId="3" hidden="1">Sites!$A$1:$HO$28</definedName>
    <definedName name="Z_3F467621_6324_4266_A1CB_A00C20E99D00_.wvu.PrintArea" localSheetId="1" hidden="1">Summary!$A$3:$P$56</definedName>
    <definedName name="Z_3F467621_6324_4266_A1CB_A00C20E99D00_.wvu.PrintTitles" localSheetId="17" hidden="1">'NOFA Budget'!$A:$A,'NOFA Budget'!$2:$7</definedName>
    <definedName name="Z_3F467621_6324_4266_A1CB_A00C20E99D00_.wvu.PrintTitles" localSheetId="1" hidden="1">Summary!$3:$10</definedName>
    <definedName name="Z_3F467621_6324_4266_A1CB_A00C20E99D00_.wvu.Rows" localSheetId="3" hidden="1">Sites!$2:$3</definedName>
    <definedName name="Z_5FF6C677_6BD3_4CC5_98C1_BA95F6DE7B70_.wvu.FilterData" localSheetId="3" hidden="1">Sites!$A$4:$IH$4</definedName>
    <definedName name="Z_5FF6C677_6BD3_4CC5_98C1_BA95F6DE7B70_.wvu.PrintArea" localSheetId="17" hidden="1">'NOFA Budget'!$A$1:$U$118</definedName>
    <definedName name="Z_5FF6C677_6BD3_4CC5_98C1_BA95F6DE7B70_.wvu.PrintArea" localSheetId="1" hidden="1">Summary!$A$3:$P$56</definedName>
    <definedName name="Z_5FF6C677_6BD3_4CC5_98C1_BA95F6DE7B70_.wvu.PrintTitles" localSheetId="17" hidden="1">'NOFA Budget'!$A:$A,'NOFA Budget'!$2:$7</definedName>
    <definedName name="Z_5FF6C677_6BD3_4CC5_98C1_BA95F6DE7B70_.wvu.PrintTitles" localSheetId="3" hidden="1">Sites!$1:$4</definedName>
    <definedName name="Z_5FF6C677_6BD3_4CC5_98C1_BA95F6DE7B70_.wvu.PrintTitles" localSheetId="1" hidden="1">Summary!$3:$10</definedName>
    <definedName name="Z_6B8B0E6B_B6D7_44A4_A1E7_F92938C31FF1_.wvu.Cols" localSheetId="5" hidden="1">'CWN June'!$AD:$AD</definedName>
    <definedName name="Z_6B8B0E6B_B6D7_44A4_A1E7_F92938C31FF1_.wvu.Cols" localSheetId="6" hidden="1">'Guillen-Kaplan'!$B:$B,'Guillen-Kaplan'!$D:$D,'Guillen-Kaplan'!$F:$F,'Guillen-Kaplan'!$H:$H,'Guillen-Kaplan'!$J:$AB,'Guillen-Kaplan'!$AD:$AD</definedName>
    <definedName name="Z_6B8B0E6B_B6D7_44A4_A1E7_F92938C31FF1_.wvu.Cols" localSheetId="8" hidden="1">'Guillen-Kaplan_60%'!$B:$B,'Guillen-Kaplan_60%'!$D:$D,'Guillen-Kaplan_60%'!$F:$F,'Guillen-Kaplan_60%'!$H:$H,'Guillen-Kaplan_60%'!$J:$AB,'Guillen-Kaplan_60%'!$AD:$AD</definedName>
    <definedName name="Z_6B8B0E6B_B6D7_44A4_A1E7_F92938C31FF1_.wvu.Cols" localSheetId="4" hidden="1">'Staff Strategy'!$B:$B,'Staff Strategy'!$K:$T</definedName>
    <definedName name="Z_6B8B0E6B_B6D7_44A4_A1E7_F92938C31FF1_.wvu.FilterData" localSheetId="3" hidden="1">Sites!$A$4:$IH$28</definedName>
    <definedName name="Z_6B8B0E6B_B6D7_44A4_A1E7_F92938C31FF1_.wvu.PrintArea" localSheetId="5" hidden="1">'CWN June'!$A$1:$Y$48</definedName>
    <definedName name="Z_6B8B0E6B_B6D7_44A4_A1E7_F92938C31FF1_.wvu.PrintArea" localSheetId="6" hidden="1">'Guillen-Kaplan'!$A$4:$AE$39</definedName>
    <definedName name="Z_6B8B0E6B_B6D7_44A4_A1E7_F92938C31FF1_.wvu.PrintArea" localSheetId="8" hidden="1">'Guillen-Kaplan_60%'!$A$4:$AE$39</definedName>
    <definedName name="Z_6B8B0E6B_B6D7_44A4_A1E7_F92938C31FF1_.wvu.PrintArea" localSheetId="17" hidden="1">'NOFA Budget'!$A$1:$U$118</definedName>
    <definedName name="Z_6B8B0E6B_B6D7_44A4_A1E7_F92938C31FF1_.wvu.PrintArea" localSheetId="7" hidden="1">'SLA minimum'!$A$1:$W$46</definedName>
    <definedName name="Z_6B8B0E6B_B6D7_44A4_A1E7_F92938C31FF1_.wvu.PrintArea" localSheetId="4" hidden="1">'Staff Strategy'!$A$4:$W$40</definedName>
    <definedName name="Z_6B8B0E6B_B6D7_44A4_A1E7_F92938C31FF1_.wvu.PrintArea" localSheetId="1" hidden="1">Summary!$A$3:$P$55</definedName>
    <definedName name="Z_6B8B0E6B_B6D7_44A4_A1E7_F92938C31FF1_.wvu.PrintTitles" localSheetId="17" hidden="1">'NOFA Budget'!$A:$A,'NOFA Budget'!$2:$7</definedName>
    <definedName name="Z_6B8B0E6B_B6D7_44A4_A1E7_F92938C31FF1_.wvu.PrintTitles" localSheetId="3" hidden="1">Sites!$1:$4</definedName>
    <definedName name="Z_6B8B0E6B_B6D7_44A4_A1E7_F92938C31FF1_.wvu.PrintTitles" localSheetId="1" hidden="1">Summary!$3:$10</definedName>
    <definedName name="Z_6B8B0E6B_B6D7_44A4_A1E7_F92938C31FF1_.wvu.Rows" localSheetId="2" hidden="1">'Key Results'!$6:$6</definedName>
    <definedName name="Z_6B8B0E6B_B6D7_44A4_A1E7_F92938C31FF1_.wvu.Rows" localSheetId="1" hidden="1">Summary!$6:$9,Summary!#REF!</definedName>
    <definedName name="Z_A3C5269A_712A_445D_A52D_32C4B0B08868_.wvu.Cols" localSheetId="5" hidden="1">'CWN June'!$AD:$AD</definedName>
    <definedName name="Z_A3C5269A_712A_445D_A52D_32C4B0B08868_.wvu.Cols" localSheetId="4" hidden="1">'Staff Strategy'!$B:$B,'Staff Strategy'!$D:$D,'Staff Strategy'!$F:$F,'Staff Strategy'!$H:$H,'Staff Strategy'!$J:$T,'Staff Strategy'!$V:$V</definedName>
    <definedName name="Z_A3C5269A_712A_445D_A52D_32C4B0B08868_.wvu.FilterData" localSheetId="3" hidden="1">Sites!$A$4:$IH$28</definedName>
    <definedName name="Z_A3C5269A_712A_445D_A52D_32C4B0B08868_.wvu.PrintArea" localSheetId="5" hidden="1">'CWN June'!$A$1:$Y$48</definedName>
    <definedName name="Z_A3C5269A_712A_445D_A52D_32C4B0B08868_.wvu.PrintArea" localSheetId="6" hidden="1">'Guillen-Kaplan'!$A$1:$AE$50</definedName>
    <definedName name="Z_A3C5269A_712A_445D_A52D_32C4B0B08868_.wvu.PrintArea" localSheetId="8" hidden="1">'Guillen-Kaplan_60%'!$A$1:$AE$50</definedName>
    <definedName name="Z_A3C5269A_712A_445D_A52D_32C4B0B08868_.wvu.PrintArea" localSheetId="17" hidden="1">'NOFA Budget'!$A$1:$U$118</definedName>
    <definedName name="Z_A3C5269A_712A_445D_A52D_32C4B0B08868_.wvu.PrintArea" localSheetId="7" hidden="1">'SLA minimum'!$A$1:$W$46</definedName>
    <definedName name="Z_A3C5269A_712A_445D_A52D_32C4B0B08868_.wvu.PrintArea" localSheetId="4" hidden="1">'Staff Strategy'!$A$4:$W$40</definedName>
    <definedName name="Z_A3C5269A_712A_445D_A52D_32C4B0B08868_.wvu.PrintArea" localSheetId="1" hidden="1">Summary!$A$3:$P$55</definedName>
    <definedName name="Z_A3C5269A_712A_445D_A52D_32C4B0B08868_.wvu.PrintTitles" localSheetId="17" hidden="1">'NOFA Budget'!$A:$A,'NOFA Budget'!$2:$7</definedName>
    <definedName name="Z_A3C5269A_712A_445D_A52D_32C4B0B08868_.wvu.PrintTitles" localSheetId="3" hidden="1">Sites!$1:$4</definedName>
    <definedName name="Z_A3C5269A_712A_445D_A52D_32C4B0B08868_.wvu.PrintTitles" localSheetId="1" hidden="1">Summary!$3:$10</definedName>
    <definedName name="Z_A3C5269A_712A_445D_A52D_32C4B0B08868_.wvu.Rows" localSheetId="2" hidden="1">'Key Results'!$6:$6</definedName>
    <definedName name="Z_A3C5269A_712A_445D_A52D_32C4B0B08868_.wvu.Rows" localSheetId="1" hidden="1">Summary!$6:$9,Summary!#REF!</definedName>
    <definedName name="Z_A948BEAA_C943_439F_A074_9FFD96C20787_.wvu.Cols" localSheetId="5" hidden="1">'CWN June'!$AD:$AD</definedName>
    <definedName name="Z_A948BEAA_C943_439F_A074_9FFD96C20787_.wvu.FilterData" localSheetId="3" hidden="1">Sites!$A$4:$IH$28</definedName>
    <definedName name="Z_A948BEAA_C943_439F_A074_9FFD96C20787_.wvu.PrintArea" localSheetId="5" hidden="1">'CWN June'!$A$1:$Y$48</definedName>
    <definedName name="Z_A948BEAA_C943_439F_A074_9FFD96C20787_.wvu.PrintArea" localSheetId="6" hidden="1">'Guillen-Kaplan'!$A$1:$AE$50</definedName>
    <definedName name="Z_A948BEAA_C943_439F_A074_9FFD96C20787_.wvu.PrintArea" localSheetId="8" hidden="1">'Guillen-Kaplan_60%'!$A$1:$AE$50</definedName>
    <definedName name="Z_A948BEAA_C943_439F_A074_9FFD96C20787_.wvu.PrintArea" localSheetId="17" hidden="1">'NOFA Budget'!$A$1:$U$118</definedName>
    <definedName name="Z_A948BEAA_C943_439F_A074_9FFD96C20787_.wvu.PrintArea" localSheetId="7" hidden="1">'SLA minimum'!$A$1:$W$46</definedName>
    <definedName name="Z_A948BEAA_C943_439F_A074_9FFD96C20787_.wvu.PrintArea" localSheetId="4" hidden="1">'Staff Strategy'!$A$1:$W$48</definedName>
    <definedName name="Z_A948BEAA_C943_439F_A074_9FFD96C20787_.wvu.PrintArea" localSheetId="1" hidden="1">Summary!$A$3:$P$55</definedName>
    <definedName name="Z_A948BEAA_C943_439F_A074_9FFD96C20787_.wvu.PrintTitles" localSheetId="17" hidden="1">'NOFA Budget'!$A:$A,'NOFA Budget'!$2:$7</definedName>
    <definedName name="Z_A948BEAA_C943_439F_A074_9FFD96C20787_.wvu.PrintTitles" localSheetId="3" hidden="1">Sites!$1:$4</definedName>
    <definedName name="Z_A948BEAA_C943_439F_A074_9FFD96C20787_.wvu.PrintTitles" localSheetId="1" hidden="1">Summary!$3:$10</definedName>
    <definedName name="Z_A948BEAA_C943_439F_A074_9FFD96C20787_.wvu.Rows" localSheetId="2" hidden="1">'Key Results'!$6:$6</definedName>
    <definedName name="Z_A948BEAA_C943_439F_A074_9FFD96C20787_.wvu.Rows" localSheetId="1" hidden="1">Summary!$6:$9,Summary!#REF!</definedName>
    <definedName name="Z_C758BCB7_A66F_4816_80B2_6959FA24FF89_.wvu.Cols" localSheetId="5" hidden="1">'CWN June'!$AD:$AD</definedName>
    <definedName name="Z_C758BCB7_A66F_4816_80B2_6959FA24FF89_.wvu.FilterData" localSheetId="3" hidden="1">Sites!$A$4:$IH$28</definedName>
    <definedName name="Z_C758BCB7_A66F_4816_80B2_6959FA24FF89_.wvu.PrintArea" localSheetId="5" hidden="1">'CWN June'!$A$1:$Y$48</definedName>
    <definedName name="Z_C758BCB7_A66F_4816_80B2_6959FA24FF89_.wvu.PrintArea" localSheetId="6" hidden="1">'Guillen-Kaplan'!$A$1:$AE$50</definedName>
    <definedName name="Z_C758BCB7_A66F_4816_80B2_6959FA24FF89_.wvu.PrintArea" localSheetId="8" hidden="1">'Guillen-Kaplan_60%'!$A$1:$AE$50</definedName>
    <definedName name="Z_C758BCB7_A66F_4816_80B2_6959FA24FF89_.wvu.PrintArea" localSheetId="17" hidden="1">'NOFA Budget'!$A$1:$U$118</definedName>
    <definedName name="Z_C758BCB7_A66F_4816_80B2_6959FA24FF89_.wvu.PrintArea" localSheetId="7" hidden="1">'SLA minimum'!$A$1:$W$46</definedName>
    <definedName name="Z_C758BCB7_A66F_4816_80B2_6959FA24FF89_.wvu.PrintArea" localSheetId="4" hidden="1">'Staff Strategy'!$A$1:$W$48</definedName>
    <definedName name="Z_C758BCB7_A66F_4816_80B2_6959FA24FF89_.wvu.PrintArea" localSheetId="1" hidden="1">Summary!$A$3:$P$55</definedName>
    <definedName name="Z_C758BCB7_A66F_4816_80B2_6959FA24FF89_.wvu.PrintTitles" localSheetId="17" hidden="1">'NOFA Budget'!$A:$A,'NOFA Budget'!$2:$7</definedName>
    <definedName name="Z_C758BCB7_A66F_4816_80B2_6959FA24FF89_.wvu.PrintTitles" localSheetId="3" hidden="1">Sites!$1:$4</definedName>
    <definedName name="Z_C758BCB7_A66F_4816_80B2_6959FA24FF89_.wvu.PrintTitles" localSheetId="1" hidden="1">Summary!$3:$10</definedName>
    <definedName name="Z_C758BCB7_A66F_4816_80B2_6959FA24FF89_.wvu.Rows" localSheetId="2" hidden="1">'Key Results'!$6:$6</definedName>
    <definedName name="Z_C758BCB7_A66F_4816_80B2_6959FA24FF89_.wvu.Rows" localSheetId="1" hidden="1">Summary!$6:$9,Summary!#REF!</definedName>
    <definedName name="Z_CDF0923A_CEB9_47A0_BB71_B372AD18A6C5_.wvu.Cols" localSheetId="5" hidden="1">'CWN June'!$B:$B,'CWN June'!$D:$D,'CWN June'!$F:$F,'CWN June'!$H:$H,'CWN June'!$J:$V,'CWN June'!$X:$X,'CWN June'!$AD:$AD</definedName>
    <definedName name="Z_CDF0923A_CEB9_47A0_BB71_B372AD18A6C5_.wvu.FilterData" localSheetId="3" hidden="1">Sites!$A$4:$IH$28</definedName>
    <definedName name="Z_CDF0923A_CEB9_47A0_BB71_B372AD18A6C5_.wvu.PrintArea" localSheetId="5" hidden="1">'CWN June'!$A$4:$Y$37</definedName>
    <definedName name="Z_CDF0923A_CEB9_47A0_BB71_B372AD18A6C5_.wvu.PrintArea" localSheetId="6" hidden="1">'Guillen-Kaplan'!$A$1:$AE$50</definedName>
    <definedName name="Z_CDF0923A_CEB9_47A0_BB71_B372AD18A6C5_.wvu.PrintArea" localSheetId="8" hidden="1">'Guillen-Kaplan_60%'!$A$1:$AE$50</definedName>
    <definedName name="Z_CDF0923A_CEB9_47A0_BB71_B372AD18A6C5_.wvu.PrintArea" localSheetId="17" hidden="1">'NOFA Budget'!$A$1:$U$118</definedName>
    <definedName name="Z_CDF0923A_CEB9_47A0_BB71_B372AD18A6C5_.wvu.PrintArea" localSheetId="7" hidden="1">'SLA minimum'!$A$1:$W$46</definedName>
    <definedName name="Z_CDF0923A_CEB9_47A0_BB71_B372AD18A6C5_.wvu.PrintArea" localSheetId="4" hidden="1">'Staff Strategy'!$A$1:$W$48</definedName>
    <definedName name="Z_CDF0923A_CEB9_47A0_BB71_B372AD18A6C5_.wvu.PrintArea" localSheetId="1" hidden="1">Summary!$A$3:$P$55</definedName>
    <definedName name="Z_CDF0923A_CEB9_47A0_BB71_B372AD18A6C5_.wvu.PrintTitles" localSheetId="17" hidden="1">'NOFA Budget'!$A:$A,'NOFA Budget'!$2:$7</definedName>
    <definedName name="Z_CDF0923A_CEB9_47A0_BB71_B372AD18A6C5_.wvu.PrintTitles" localSheetId="3" hidden="1">Sites!$1:$4</definedName>
    <definedName name="Z_CDF0923A_CEB9_47A0_BB71_B372AD18A6C5_.wvu.PrintTitles" localSheetId="1" hidden="1">Summary!$3:$10</definedName>
    <definedName name="Z_CDF0923A_CEB9_47A0_BB71_B372AD18A6C5_.wvu.Rows" localSheetId="2" hidden="1">'Key Results'!$6:$6</definedName>
    <definedName name="Z_CDF0923A_CEB9_47A0_BB71_B372AD18A6C5_.wvu.Rows" localSheetId="1" hidden="1">Summary!$6:$9,Summary!#REF!</definedName>
    <definedName name="Z_CF016ED8_8B91_4622_8F1B_C12FD046BBA3_.wvu.Cols" localSheetId="5" hidden="1">'CWN June'!$AD:$AD</definedName>
    <definedName name="Z_CF016ED8_8B91_4622_8F1B_C12FD046BBA3_.wvu.FilterData" localSheetId="3" hidden="1">Sites!$A$4:$IH$28</definedName>
    <definedName name="Z_CF016ED8_8B91_4622_8F1B_C12FD046BBA3_.wvu.PrintArea" localSheetId="5" hidden="1">'CWN June'!$A$1:$Y$48</definedName>
    <definedName name="Z_CF016ED8_8B91_4622_8F1B_C12FD046BBA3_.wvu.PrintArea" localSheetId="6" hidden="1">'Guillen-Kaplan'!$A$1:$AE$50</definedName>
    <definedName name="Z_CF016ED8_8B91_4622_8F1B_C12FD046BBA3_.wvu.PrintArea" localSheetId="8" hidden="1">'Guillen-Kaplan_60%'!$A$1:$AE$50</definedName>
    <definedName name="Z_CF016ED8_8B91_4622_8F1B_C12FD046BBA3_.wvu.PrintArea" localSheetId="17" hidden="1">'NOFA Budget'!$A$1:$U$118</definedName>
    <definedName name="Z_CF016ED8_8B91_4622_8F1B_C12FD046BBA3_.wvu.PrintArea" localSheetId="7" hidden="1">'SLA minimum'!$A$1:$W$46</definedName>
    <definedName name="Z_CF016ED8_8B91_4622_8F1B_C12FD046BBA3_.wvu.PrintArea" localSheetId="4" hidden="1">'Staff Strategy'!$A$1:$W$48</definedName>
    <definedName name="Z_CF016ED8_8B91_4622_8F1B_C12FD046BBA3_.wvu.PrintArea" localSheetId="1" hidden="1">Summary!$A$3:$P$55</definedName>
    <definedName name="Z_CF016ED8_8B91_4622_8F1B_C12FD046BBA3_.wvu.PrintTitles" localSheetId="17" hidden="1">'NOFA Budget'!$A:$A,'NOFA Budget'!$2:$7</definedName>
    <definedName name="Z_CF016ED8_8B91_4622_8F1B_C12FD046BBA3_.wvu.PrintTitles" localSheetId="3" hidden="1">Sites!$1:$4</definedName>
    <definedName name="Z_CF016ED8_8B91_4622_8F1B_C12FD046BBA3_.wvu.PrintTitles" localSheetId="1" hidden="1">Summary!$3:$10</definedName>
    <definedName name="Z_CF016ED8_8B91_4622_8F1B_C12FD046BBA3_.wvu.Rows" localSheetId="2" hidden="1">'Key Results'!$6:$6</definedName>
    <definedName name="Z_CF016ED8_8B91_4622_8F1B_C12FD046BBA3_.wvu.Rows" localSheetId="1" hidden="1">Summary!$6:$9,Summary!#REF!</definedName>
    <definedName name="Z_D2801948_3667_42F1_A855_2C3A7F5D75C1_.wvu.Cols" localSheetId="5" hidden="1">'CWN June'!$AD:$AD</definedName>
    <definedName name="Z_D2801948_3667_42F1_A855_2C3A7F5D75C1_.wvu.FilterData" localSheetId="3" hidden="1">Sites!$A$4:$IH$28</definedName>
    <definedName name="Z_D2801948_3667_42F1_A855_2C3A7F5D75C1_.wvu.PrintArea" localSheetId="5" hidden="1">'CWN June'!$A$1:$Y$48</definedName>
    <definedName name="Z_D2801948_3667_42F1_A855_2C3A7F5D75C1_.wvu.PrintArea" localSheetId="6" hidden="1">'Guillen-Kaplan'!$A$1:$AE$50</definedName>
    <definedName name="Z_D2801948_3667_42F1_A855_2C3A7F5D75C1_.wvu.PrintArea" localSheetId="8" hidden="1">'Guillen-Kaplan_60%'!$A$1:$AE$50</definedName>
    <definedName name="Z_D2801948_3667_42F1_A855_2C3A7F5D75C1_.wvu.PrintArea" localSheetId="17" hidden="1">'NOFA Budget'!$A$1:$U$118</definedName>
    <definedName name="Z_D2801948_3667_42F1_A855_2C3A7F5D75C1_.wvu.PrintArea" localSheetId="7" hidden="1">'SLA minimum'!$A$1:$W$46</definedName>
    <definedName name="Z_D2801948_3667_42F1_A855_2C3A7F5D75C1_.wvu.PrintArea" localSheetId="4" hidden="1">'Staff Strategy'!$A$1:$W$48</definedName>
    <definedName name="Z_D2801948_3667_42F1_A855_2C3A7F5D75C1_.wvu.PrintArea" localSheetId="1" hidden="1">Summary!$A$3:$P$55</definedName>
    <definedName name="Z_D2801948_3667_42F1_A855_2C3A7F5D75C1_.wvu.PrintTitles" localSheetId="17" hidden="1">'NOFA Budget'!$A:$A,'NOFA Budget'!$2:$7</definedName>
    <definedName name="Z_D2801948_3667_42F1_A855_2C3A7F5D75C1_.wvu.PrintTitles" localSheetId="3" hidden="1">Sites!$1:$4</definedName>
    <definedName name="Z_D2801948_3667_42F1_A855_2C3A7F5D75C1_.wvu.PrintTitles" localSheetId="1" hidden="1">Summary!$3:$10</definedName>
    <definedName name="Z_D2801948_3667_42F1_A855_2C3A7F5D75C1_.wvu.Rows" localSheetId="2" hidden="1">'Key Results'!$6:$6</definedName>
    <definedName name="Z_D2801948_3667_42F1_A855_2C3A7F5D75C1_.wvu.Rows" localSheetId="1" hidden="1">Summary!$6:$9,Summary!#REF!</definedName>
    <definedName name="Z_E6F23B71_2871_41D0_8B3E_C5A92D17DA9C_.wvu.Cols" localSheetId="5" hidden="1">'CWN June'!$AD:$AD</definedName>
    <definedName name="Z_E6F23B71_2871_41D0_8B3E_C5A92D17DA9C_.wvu.FilterData" localSheetId="3" hidden="1">Sites!$A$4:$IH$28</definedName>
    <definedName name="Z_E6F23B71_2871_41D0_8B3E_C5A92D17DA9C_.wvu.PrintArea" localSheetId="5" hidden="1">'CWN June'!$A$1:$Y$48</definedName>
    <definedName name="Z_E6F23B71_2871_41D0_8B3E_C5A92D17DA9C_.wvu.PrintArea" localSheetId="6" hidden="1">'Guillen-Kaplan'!$A$1:$AE$50</definedName>
    <definedName name="Z_E6F23B71_2871_41D0_8B3E_C5A92D17DA9C_.wvu.PrintArea" localSheetId="8" hidden="1">'Guillen-Kaplan_60%'!$A$1:$AE$50</definedName>
    <definedName name="Z_E6F23B71_2871_41D0_8B3E_C5A92D17DA9C_.wvu.PrintArea" localSheetId="17" hidden="1">'NOFA Budget'!$A$1:$U$118</definedName>
    <definedName name="Z_E6F23B71_2871_41D0_8B3E_C5A92D17DA9C_.wvu.PrintArea" localSheetId="7" hidden="1">'SLA minimum'!$A$1:$W$46</definedName>
    <definedName name="Z_E6F23B71_2871_41D0_8B3E_C5A92D17DA9C_.wvu.PrintArea" localSheetId="4" hidden="1">'Staff Strategy'!$A$1:$W$48</definedName>
    <definedName name="Z_E6F23B71_2871_41D0_8B3E_C5A92D17DA9C_.wvu.PrintArea" localSheetId="1" hidden="1">Summary!$A$3:$P$55</definedName>
    <definedName name="Z_E6F23B71_2871_41D0_8B3E_C5A92D17DA9C_.wvu.PrintTitles" localSheetId="17" hidden="1">'NOFA Budget'!$A:$A,'NOFA Budget'!$2:$7</definedName>
    <definedName name="Z_E6F23B71_2871_41D0_8B3E_C5A92D17DA9C_.wvu.PrintTitles" localSheetId="3" hidden="1">Sites!$1:$4</definedName>
    <definedName name="Z_E6F23B71_2871_41D0_8B3E_C5A92D17DA9C_.wvu.PrintTitles" localSheetId="1" hidden="1">Summary!$3:$10</definedName>
    <definedName name="Z_E6F23B71_2871_41D0_8B3E_C5A92D17DA9C_.wvu.Rows" localSheetId="2" hidden="1">'Key Results'!$6:$6</definedName>
    <definedName name="Z_E6F23B71_2871_41D0_8B3E_C5A92D17DA9C_.wvu.Rows" localSheetId="1" hidden="1">Summary!$6:$9,Summary!#REF!</definedName>
    <definedName name="Z_F15FCE5B_4793_4E19_BCC1_0B2A44E18C59_.wvu.Cols" localSheetId="5" hidden="1">'CWN June'!$AD:$AD</definedName>
    <definedName name="Z_F15FCE5B_4793_4E19_BCC1_0B2A44E18C59_.wvu.Cols" localSheetId="4" hidden="1">'Staff Strategy'!$B:$B,'Staff Strategy'!$K:$T</definedName>
    <definedName name="Z_F15FCE5B_4793_4E19_BCC1_0B2A44E18C59_.wvu.FilterData" localSheetId="3" hidden="1">Sites!$A$4:$IH$28</definedName>
    <definedName name="Z_F15FCE5B_4793_4E19_BCC1_0B2A44E18C59_.wvu.PrintArea" localSheetId="5" hidden="1">'CWN June'!$A$1:$Y$48</definedName>
    <definedName name="Z_F15FCE5B_4793_4E19_BCC1_0B2A44E18C59_.wvu.PrintArea" localSheetId="6" hidden="1">'Guillen-Kaplan'!$A$1:$AE$50</definedName>
    <definedName name="Z_F15FCE5B_4793_4E19_BCC1_0B2A44E18C59_.wvu.PrintArea" localSheetId="8" hidden="1">'Guillen-Kaplan_60%'!$A$1:$AE$50</definedName>
    <definedName name="Z_F15FCE5B_4793_4E19_BCC1_0B2A44E18C59_.wvu.PrintArea" localSheetId="17" hidden="1">'NOFA Budget'!$A$1:$U$118</definedName>
    <definedName name="Z_F15FCE5B_4793_4E19_BCC1_0B2A44E18C59_.wvu.PrintArea" localSheetId="7" hidden="1">'SLA minimum'!$A$1:$W$46</definedName>
    <definedName name="Z_F15FCE5B_4793_4E19_BCC1_0B2A44E18C59_.wvu.PrintArea" localSheetId="4" hidden="1">'Staff Strategy'!$A$4:$W$40</definedName>
    <definedName name="Z_F15FCE5B_4793_4E19_BCC1_0B2A44E18C59_.wvu.PrintArea" localSheetId="1" hidden="1">Summary!$A$3:$P$55</definedName>
    <definedName name="Z_F15FCE5B_4793_4E19_BCC1_0B2A44E18C59_.wvu.PrintTitles" localSheetId="17" hidden="1">'NOFA Budget'!$A:$A,'NOFA Budget'!$2:$7</definedName>
    <definedName name="Z_F15FCE5B_4793_4E19_BCC1_0B2A44E18C59_.wvu.PrintTitles" localSheetId="3" hidden="1">Sites!$1:$4</definedName>
    <definedName name="Z_F15FCE5B_4793_4E19_BCC1_0B2A44E18C59_.wvu.PrintTitles" localSheetId="1" hidden="1">Summary!$3:$10</definedName>
    <definedName name="Z_F15FCE5B_4793_4E19_BCC1_0B2A44E18C59_.wvu.Rows" localSheetId="2" hidden="1">'Key Results'!$6:$6</definedName>
    <definedName name="Z_F15FCE5B_4793_4E19_BCC1_0B2A44E18C59_.wvu.Rows" localSheetId="1" hidden="1">Summary!$6:$9,Summary!#REF!</definedName>
    <definedName name="Z_F7AAF2C2_30F8_4A4D_9DCA_2CE431E237EF_.wvu.Cols" localSheetId="5" hidden="1">'CWN June'!$AD:$AD</definedName>
    <definedName name="Z_F7AAF2C2_30F8_4A4D_9DCA_2CE431E237EF_.wvu.FilterData" localSheetId="3" hidden="1">Sites!$A$4:$IH$28</definedName>
    <definedName name="Z_F7AAF2C2_30F8_4A4D_9DCA_2CE431E237EF_.wvu.PrintArea" localSheetId="5" hidden="1">'CWN June'!$A$1:$Y$48</definedName>
    <definedName name="Z_F7AAF2C2_30F8_4A4D_9DCA_2CE431E237EF_.wvu.PrintArea" localSheetId="6" hidden="1">'Guillen-Kaplan'!$A$1:$AE$50</definedName>
    <definedName name="Z_F7AAF2C2_30F8_4A4D_9DCA_2CE431E237EF_.wvu.PrintArea" localSheetId="8" hidden="1">'Guillen-Kaplan_60%'!$A$1:$AE$50</definedName>
    <definedName name="Z_F7AAF2C2_30F8_4A4D_9DCA_2CE431E237EF_.wvu.PrintArea" localSheetId="17" hidden="1">'NOFA Budget'!$A$1:$U$118</definedName>
    <definedName name="Z_F7AAF2C2_30F8_4A4D_9DCA_2CE431E237EF_.wvu.PrintArea" localSheetId="7" hidden="1">'SLA minimum'!$A$1:$W$46</definedName>
    <definedName name="Z_F7AAF2C2_30F8_4A4D_9DCA_2CE431E237EF_.wvu.PrintArea" localSheetId="4" hidden="1">'Staff Strategy'!$A$1:$W$48</definedName>
    <definedName name="Z_F7AAF2C2_30F8_4A4D_9DCA_2CE431E237EF_.wvu.PrintArea" localSheetId="1" hidden="1">Summary!$A$3:$P$55</definedName>
    <definedName name="Z_F7AAF2C2_30F8_4A4D_9DCA_2CE431E237EF_.wvu.PrintTitles" localSheetId="17" hidden="1">'NOFA Budget'!$A:$A,'NOFA Budget'!$2:$7</definedName>
    <definedName name="Z_F7AAF2C2_30F8_4A4D_9DCA_2CE431E237EF_.wvu.PrintTitles" localSheetId="3" hidden="1">Sites!$1:$4</definedName>
    <definedName name="Z_F7AAF2C2_30F8_4A4D_9DCA_2CE431E237EF_.wvu.PrintTitles" localSheetId="1" hidden="1">Summary!$3:$10</definedName>
    <definedName name="Z_F7AAF2C2_30F8_4A4D_9DCA_2CE431E237EF_.wvu.Rows" localSheetId="2" hidden="1">'Key Results'!$6:$6</definedName>
    <definedName name="Z_F7AAF2C2_30F8_4A4D_9DCA_2CE431E237EF_.wvu.Rows" localSheetId="1" hidden="1">Summary!$6:$9,Summary!#REF!</definedName>
    <definedName name="Z_FC75C57A_A981_40F1_A712_EAFC64AB1BBD_.wvu.Cols" localSheetId="3" hidden="1">Sites!$A:$A,Sites!$C:$U,Sites!$X:$AN,Sites!$AQ:$AT,Sites!$AV:$BB,Sites!#REF!,Sites!#REF!,Sites!$BN:$BT,Sites!$BX:$CF,Sites!$BN:$CR,Sites!#REF!,Sites!$CS:$GU,Sites!$GY:$HF</definedName>
    <definedName name="Z_FC75C57A_A981_40F1_A712_EAFC64AB1BBD_.wvu.FilterData" localSheetId="3" hidden="1">Sites!$A$4:$IH$4</definedName>
    <definedName name="Z_FC75C57A_A981_40F1_A712_EAFC64AB1BBD_.wvu.PrintArea" localSheetId="17" hidden="1">'NOFA Budget'!$A$1:$U$118</definedName>
    <definedName name="Z_FC75C57A_A981_40F1_A712_EAFC64AB1BBD_.wvu.PrintArea" localSheetId="3" hidden="1">Sites!$A$1:$HG$28</definedName>
    <definedName name="Z_FC75C57A_A981_40F1_A712_EAFC64AB1BBD_.wvu.PrintArea" localSheetId="1" hidden="1">Summary!$A$3:$P$56</definedName>
    <definedName name="Z_FC75C57A_A981_40F1_A712_EAFC64AB1BBD_.wvu.PrintTitles" localSheetId="17" hidden="1">'NOFA Budget'!$A:$A,'NOFA Budget'!$2:$7</definedName>
    <definedName name="Z_FC75C57A_A981_40F1_A712_EAFC64AB1BBD_.wvu.PrintTitles" localSheetId="3" hidden="1">Sites!$B:$W</definedName>
    <definedName name="Z_FC75C57A_A981_40F1_A712_EAFC64AB1BBD_.wvu.PrintTitles" localSheetId="1" hidden="1">Summary!$3:$10</definedName>
    <definedName name="Z_FC75C57A_A981_40F1_A712_EAFC64AB1BBD_.wvu.Rows" localSheetId="3" hidden="1">Sites!$2:$3</definedName>
    <definedName name="zbp_1_4">[1]ZBP_1_4!$A$5:$H$43</definedName>
    <definedName name="zbp_10_19">[1]ZBP_10_19!$A$5:$H$43</definedName>
    <definedName name="zbp_20_49">[1]ZBP_20_49!$A$5:$H$43</definedName>
    <definedName name="zbp_5_9">[1]ZBP_5_9!$A$5:$H$43</definedName>
    <definedName name="ZBP_50_99">[1]ZBP_50_99!$A$5:$H$37</definedName>
    <definedName name="zbp_tot3">[1]ZBP_Tot3!$A$5:$H$43</definedName>
  </definedNames>
  <calcPr calcId="171027"/>
  <customWorkbookViews>
    <customWorkbookView name="categories" guid="{12DF92E2-F0A4-4522-953F-2BCAD962F9B1}" maximized="1" xWindow="-8" yWindow="-8" windowWidth="1936" windowHeight="1056" activeSheetId="46"/>
    <customWorkbookView name="categorized_staffPLA" guid="{CDF0923A-CEB9-47A0-BB71-B372AD18A6C5}" maximized="1" xWindow="-8" yWindow="-8" windowWidth="1936" windowHeight="1056" activeSheetId="63"/>
    <customWorkbookView name="categorized_SLAmin" guid="{1CB7F20C-5BCB-4F31-A665-EF07F93D0225}" maximized="1" xWindow="-8" yWindow="-8" windowWidth="1936" windowHeight="1056" activeSheetId="59"/>
    <customWorkbookView name="categorized_staff" guid="{A3C5269A-712A-445D-A52D-32C4B0B08868}" maximized="1" xWindow="-8" yWindow="-8" windowWidth="1936" windowHeight="1056" activeSheetId="49"/>
    <customWorkbookView name="categorized_CWNfixed" guid="{D2801948-3667-42F1-A855-2C3A7F5D75C1}" maximized="1" xWindow="-8" yWindow="-8" windowWidth="1936" windowHeight="1056" activeSheetId="64"/>
    <customWorkbookView name="categorized_CWNflex" guid="{6B8B0E6B-B6D7-44A4-A1E7-F92938C31FF1}" maximized="1" xWindow="-8" yWindow="-8" windowWidth="1936" windowHeight="1056" activeSheetId="55"/>
    <customWorkbookView name="CWNfix_full" guid="{E6F23B71-2871-41D0-8B3E-C5A92D17DA9C}" maximized="1" xWindow="-8" yWindow="-8" windowWidth="1936" windowHeight="1056" activeSheetId="64"/>
    <customWorkbookView name="compare" guid="{105E85B8-9A7A-4110-9634-CB22952476CC}" xWindow="353" windowWidth="1567" windowHeight="1040" activeSheetId="10"/>
    <customWorkbookView name="sites for print" guid="{3F467621-6324-4266-A1CB-A00C20E99D00}" maximized="1" xWindow="-8" yWindow="-8" windowWidth="1936" windowHeight="1056" activeSheetId="1"/>
    <customWorkbookView name="sites multipage" guid="{FC75C57A-A981-40F1-A712-EAFC64AB1BBD}" maximized="1" xWindow="-8" yWindow="-8" windowWidth="1936" windowHeight="1056" activeSheetId="1"/>
    <customWorkbookView name="full" guid="{5FF6C677-6BD3-4CC5-98C1-BA95F6DE7B70}" maximized="1" xWindow="-8" yWindow="-8" windowWidth="1936" windowHeight="1056" activeSheetId="1"/>
    <customWorkbookView name="summary" guid="{3D995FFA-456E-4A0A-AF78-CD5180B1C163}" maximized="1" xWindow="-8" yWindow="-8" windowWidth="1936" windowHeight="1056" tabRatio="846" activeSheetId="10"/>
    <customWorkbookView name="sitedetail_staff" guid="{F7AAF2C2-30F8-4A4D-9DCA-2CE431E237EF}" maximized="1" xWindow="-8" yWindow="-8" windowWidth="1936" windowHeight="1056" activeSheetId="49"/>
    <customWorkbookView name="sitedetail_staffPLA" guid="{CF016ED8-8B91-4622-8F1B-C12FD046BBA3}" maximized="1" xWindow="-8" yWindow="-8" windowWidth="1936" windowHeight="1056" activeSheetId="63"/>
    <customWorkbookView name="sitedetail_CWNfixed" guid="{A948BEAA-C943-439F-A074-9FFD96C20787}" maximized="1" xWindow="-8" yWindow="-8" windowWidth="1936" windowHeight="1056" activeSheetId="64"/>
    <customWorkbookView name="sitedetail_CWNflex" guid="{F15FCE5B-4793-4E19-BCC1-0B2A44E18C59}" maximized="1" xWindow="-8" yWindow="-8" windowWidth="1936" windowHeight="1056" activeSheetId="55"/>
    <customWorkbookView name="sitedetail_SLAmin" guid="{C758BCB7-A66F-4816-80B2-6959FA24FF89}" maximized="1" xWindow="-8" yWindow="-8" windowWidth="1936" windowHeight="1056" activeSheetId="59"/>
  </customWorkbookViews>
</workbook>
</file>

<file path=xl/calcChain.xml><?xml version="1.0" encoding="utf-8"?>
<calcChain xmlns="http://schemas.openxmlformats.org/spreadsheetml/2006/main">
  <c r="C16" i="39" l="1"/>
  <c r="C10" i="39"/>
  <c r="EA1" i="1"/>
  <c r="I76" i="10"/>
  <c r="G33" i="73"/>
  <c r="E33" i="73"/>
  <c r="G25" i="73"/>
  <c r="G11" i="73"/>
  <c r="E25" i="73"/>
  <c r="E11" i="73"/>
  <c r="FH26" i="1"/>
  <c r="FC26" i="1"/>
  <c r="FF26" i="1" s="1"/>
  <c r="EE26" i="1"/>
  <c r="FH25" i="1"/>
  <c r="FC25" i="1"/>
  <c r="FF25" i="1" s="1"/>
  <c r="EE25" i="1"/>
  <c r="EC25" i="1"/>
  <c r="FH24" i="1"/>
  <c r="FC24" i="1"/>
  <c r="FF24" i="1" s="1"/>
  <c r="EK24" i="1"/>
  <c r="EE24" i="1"/>
  <c r="FH23" i="1"/>
  <c r="FC23" i="1"/>
  <c r="FF23" i="1" s="1"/>
  <c r="EK23" i="1"/>
  <c r="EE23" i="1"/>
  <c r="FH22" i="1"/>
  <c r="FH27" i="1" s="1"/>
  <c r="FC22" i="1"/>
  <c r="FC27" i="1" s="1"/>
  <c r="EK22" i="1"/>
  <c r="EE22" i="1"/>
  <c r="FC20" i="1"/>
  <c r="FH20" i="1" s="1"/>
  <c r="FH21" i="1" s="1"/>
  <c r="EV20" i="1"/>
  <c r="EV21" i="1" s="1"/>
  <c r="ES20" i="1"/>
  <c r="ES21" i="1" s="1"/>
  <c r="EP20" i="1"/>
  <c r="EP21" i="1" s="1"/>
  <c r="EN20" i="1"/>
  <c r="EN21" i="1" s="1"/>
  <c r="EL20" i="1"/>
  <c r="EL21" i="1" s="1"/>
  <c r="EK20" i="1"/>
  <c r="EE20" i="1"/>
  <c r="FF18" i="1"/>
  <c r="FC18" i="1"/>
  <c r="FH18" i="1" s="1"/>
  <c r="EW18" i="1"/>
  <c r="EV18" i="1"/>
  <c r="ES18" i="1"/>
  <c r="EP18" i="1"/>
  <c r="EN18" i="1"/>
  <c r="EL18" i="1"/>
  <c r="EK18" i="1"/>
  <c r="EM18" i="1" s="1"/>
  <c r="EE18" i="1"/>
  <c r="FC17" i="1"/>
  <c r="FH17" i="1" s="1"/>
  <c r="EV17" i="1"/>
  <c r="EW17" i="1" s="1"/>
  <c r="ES17" i="1"/>
  <c r="EP17" i="1"/>
  <c r="EN17" i="1"/>
  <c r="EL17" i="1"/>
  <c r="EK17" i="1"/>
  <c r="EE17" i="1"/>
  <c r="FH16" i="1"/>
  <c r="FC16" i="1"/>
  <c r="FF16" i="1" s="1"/>
  <c r="EK16" i="1"/>
  <c r="EE16" i="1"/>
  <c r="FH15" i="1"/>
  <c r="EU15" i="1" s="1"/>
  <c r="FG15" i="1"/>
  <c r="FE15" i="1"/>
  <c r="ET15" i="1" s="1"/>
  <c r="FD15" i="1"/>
  <c r="FC15" i="1"/>
  <c r="FF15" i="1" s="1"/>
  <c r="FB15" i="1"/>
  <c r="EV15" i="1"/>
  <c r="EW15" i="1" s="1"/>
  <c r="ES15" i="1"/>
  <c r="EP15" i="1"/>
  <c r="EN15" i="1"/>
  <c r="EL15" i="1"/>
  <c r="EK15" i="1"/>
  <c r="EI15" i="1"/>
  <c r="EJ15" i="1" s="1"/>
  <c r="EE15" i="1"/>
  <c r="FF14" i="1"/>
  <c r="FD14" i="1"/>
  <c r="FC14" i="1"/>
  <c r="FH14" i="1" s="1"/>
  <c r="EK14" i="1"/>
  <c r="EG14" i="1"/>
  <c r="FG14" i="1" s="1"/>
  <c r="EU14" i="1" s="1"/>
  <c r="EE14" i="1"/>
  <c r="FF13" i="1"/>
  <c r="FC13" i="1"/>
  <c r="FH13" i="1" s="1"/>
  <c r="EK13" i="1"/>
  <c r="EE13" i="1"/>
  <c r="FC12" i="1"/>
  <c r="FC19" i="1" s="1"/>
  <c r="EK12" i="1"/>
  <c r="EE12" i="1"/>
  <c r="FH11" i="1"/>
  <c r="FC11" i="1"/>
  <c r="FF11" i="1" s="1"/>
  <c r="EK11" i="1"/>
  <c r="EE11" i="1"/>
  <c r="FC10" i="1"/>
  <c r="FH10" i="1" s="1"/>
  <c r="EK10" i="1"/>
  <c r="EE10" i="1"/>
  <c r="FH9" i="1"/>
  <c r="FF9" i="1"/>
  <c r="FC9" i="1"/>
  <c r="EK9" i="1"/>
  <c r="EE9" i="1"/>
  <c r="FC8" i="1"/>
  <c r="FH8" i="1" s="1"/>
  <c r="EV8" i="1"/>
  <c r="EW8" i="1" s="1"/>
  <c r="ES8" i="1"/>
  <c r="EP8" i="1"/>
  <c r="EN8" i="1"/>
  <c r="EL8" i="1"/>
  <c r="EK8" i="1"/>
  <c r="EM8" i="1" s="1"/>
  <c r="EE8" i="1"/>
  <c r="FH7" i="1"/>
  <c r="FC7" i="1"/>
  <c r="FF7" i="1" s="1"/>
  <c r="EK7" i="1"/>
  <c r="EE7" i="1"/>
  <c r="FF6" i="1"/>
  <c r="FC6" i="1"/>
  <c r="FH6" i="1" s="1"/>
  <c r="EK6" i="1"/>
  <c r="EE6" i="1"/>
  <c r="FF5" i="1"/>
  <c r="FC5" i="1"/>
  <c r="FH5" i="1" s="1"/>
  <c r="EV5" i="1"/>
  <c r="EW5" i="1" s="1"/>
  <c r="ES5" i="1"/>
  <c r="EP5" i="1"/>
  <c r="EN5" i="1"/>
  <c r="EL5" i="1"/>
  <c r="EM5" i="1" s="1"/>
  <c r="EK5" i="1"/>
  <c r="EE5" i="1"/>
  <c r="FH3" i="1"/>
  <c r="FF3" i="1"/>
  <c r="EO3" i="1"/>
  <c r="EI2" i="1"/>
  <c r="EO1" i="1"/>
  <c r="EI1" i="1"/>
  <c r="C43" i="73"/>
  <c r="C42" i="73"/>
  <c r="AE35" i="73"/>
  <c r="A34" i="73"/>
  <c r="Y33" i="73"/>
  <c r="A33" i="73"/>
  <c r="AG31" i="73"/>
  <c r="AE30" i="73"/>
  <c r="Y29" i="73"/>
  <c r="A29" i="73"/>
  <c r="Y28" i="73"/>
  <c r="A28" i="73"/>
  <c r="Y27" i="73"/>
  <c r="A27" i="73"/>
  <c r="Y26" i="73"/>
  <c r="A26" i="73"/>
  <c r="C26" i="73" s="1"/>
  <c r="Y25" i="73"/>
  <c r="A25" i="73"/>
  <c r="Y24" i="73"/>
  <c r="A24" i="73"/>
  <c r="Y23" i="73"/>
  <c r="A23" i="73"/>
  <c r="Y22" i="73"/>
  <c r="A22" i="73"/>
  <c r="C22" i="73" s="1"/>
  <c r="Y21" i="73"/>
  <c r="A21" i="73"/>
  <c r="Y20" i="73"/>
  <c r="A20" i="73"/>
  <c r="AG17" i="73"/>
  <c r="AG16" i="73"/>
  <c r="AE15" i="73"/>
  <c r="AA15" i="73"/>
  <c r="I15" i="73"/>
  <c r="I30" i="73" s="1"/>
  <c r="Y14" i="73"/>
  <c r="S14" i="73"/>
  <c r="M14" i="73"/>
  <c r="A14" i="73"/>
  <c r="S13" i="73"/>
  <c r="A13" i="73"/>
  <c r="S12" i="73"/>
  <c r="A12" i="73"/>
  <c r="S11" i="73"/>
  <c r="A11" i="73"/>
  <c r="Y19" i="73"/>
  <c r="S19" i="73"/>
  <c r="A19" i="73"/>
  <c r="Y18" i="73"/>
  <c r="S18" i="73"/>
  <c r="A18" i="73"/>
  <c r="S10" i="73"/>
  <c r="A10" i="73"/>
  <c r="S9" i="73"/>
  <c r="A9" i="73"/>
  <c r="AG4" i="73"/>
  <c r="EM17" i="1" l="1"/>
  <c r="ET14" i="1"/>
  <c r="FF8" i="1"/>
  <c r="FF19" i="1" s="1"/>
  <c r="EI14" i="1"/>
  <c r="EM15" i="1"/>
  <c r="EM20" i="1"/>
  <c r="EM21" i="1" s="1"/>
  <c r="FF10" i="1"/>
  <c r="FB14" i="1"/>
  <c r="EW20" i="1"/>
  <c r="EW21" i="1" s="1"/>
  <c r="FF20" i="1"/>
  <c r="FF21" i="1" s="1"/>
  <c r="EK21" i="1"/>
  <c r="FC21" i="1"/>
  <c r="FC28" i="1" s="1"/>
  <c r="FF22" i="1"/>
  <c r="FF27" i="1" s="1"/>
  <c r="EF25" i="1"/>
  <c r="EG25" i="1" s="1"/>
  <c r="EK19" i="1"/>
  <c r="FF12" i="1"/>
  <c r="FF17" i="1"/>
  <c r="FE14" i="1"/>
  <c r="FH12" i="1"/>
  <c r="EP14" i="1"/>
  <c r="AE37" i="73"/>
  <c r="M15" i="73"/>
  <c r="Y15" i="73"/>
  <c r="C12" i="73"/>
  <c r="C27" i="73"/>
  <c r="C19" i="73"/>
  <c r="Y30" i="73"/>
  <c r="C18" i="73"/>
  <c r="C14" i="73"/>
  <c r="C23" i="73"/>
  <c r="C25" i="73"/>
  <c r="S15" i="73"/>
  <c r="C10" i="73"/>
  <c r="C9" i="73"/>
  <c r="C29" i="73"/>
  <c r="I33" i="73"/>
  <c r="C20" i="73"/>
  <c r="C24" i="73"/>
  <c r="C28" i="73"/>
  <c r="C13" i="73"/>
  <c r="C34" i="73"/>
  <c r="AM34" i="73" s="1"/>
  <c r="Y34" i="73" s="1"/>
  <c r="Y35" i="73" s="1"/>
  <c r="C33" i="73"/>
  <c r="FB25" i="1" l="1"/>
  <c r="FE25" i="1"/>
  <c r="EI25" i="1"/>
  <c r="FG25" i="1"/>
  <c r="EU25" i="1" s="1"/>
  <c r="EP25" i="1"/>
  <c r="FD25" i="1"/>
  <c r="FF28" i="1"/>
  <c r="EJ14" i="1"/>
  <c r="EL14" i="1" s="1"/>
  <c r="FH19" i="1"/>
  <c r="FH28" i="1" s="1"/>
  <c r="Y37" i="73"/>
  <c r="C35" i="73"/>
  <c r="AQ33" i="73"/>
  <c r="S33" i="73" s="1"/>
  <c r="B19" i="39"/>
  <c r="Y31" i="59"/>
  <c r="Y4" i="59"/>
  <c r="AG31" i="72"/>
  <c r="AG19" i="72"/>
  <c r="AG18" i="72"/>
  <c r="AG4" i="72"/>
  <c r="AA34" i="69"/>
  <c r="AA30" i="69"/>
  <c r="AA4" i="69"/>
  <c r="Y4" i="49"/>
  <c r="ET25" i="1" l="1"/>
  <c r="EN14" i="1"/>
  <c r="EM14" i="1"/>
  <c r="AM25" i="73" s="1"/>
  <c r="EJ25" i="1"/>
  <c r="EL25" i="1" s="1"/>
  <c r="EN25" i="1" s="1"/>
  <c r="O76" i="10"/>
  <c r="CS1" i="1" l="1"/>
  <c r="ME5" i="1"/>
  <c r="MF5" i="1"/>
  <c r="MG5" i="1"/>
  <c r="MH5" i="1"/>
  <c r="MI5" i="1"/>
  <c r="MJ5" i="1"/>
  <c r="MK5" i="1"/>
  <c r="ML5" i="1"/>
  <c r="MM5" i="1"/>
  <c r="MN5" i="1"/>
  <c r="ME6" i="1"/>
  <c r="MF6" i="1"/>
  <c r="MG6" i="1"/>
  <c r="MH6" i="1"/>
  <c r="MI6" i="1"/>
  <c r="MJ6" i="1"/>
  <c r="MK6" i="1"/>
  <c r="ML6" i="1"/>
  <c r="MM6" i="1"/>
  <c r="MN6" i="1"/>
  <c r="ME7" i="1"/>
  <c r="MF7" i="1"/>
  <c r="MG7" i="1"/>
  <c r="MH7" i="1"/>
  <c r="MI7" i="1"/>
  <c r="MJ7" i="1"/>
  <c r="MK7" i="1"/>
  <c r="ML7" i="1"/>
  <c r="MM7" i="1"/>
  <c r="MN7" i="1"/>
  <c r="ME8" i="1"/>
  <c r="MF8" i="1"/>
  <c r="MG8" i="1"/>
  <c r="MH8" i="1"/>
  <c r="MI8" i="1"/>
  <c r="MJ8" i="1"/>
  <c r="MK8" i="1"/>
  <c r="ML8" i="1"/>
  <c r="MM8" i="1"/>
  <c r="MN8" i="1"/>
  <c r="ME9" i="1"/>
  <c r="MF9" i="1"/>
  <c r="MG9" i="1"/>
  <c r="MH9" i="1"/>
  <c r="MI9" i="1"/>
  <c r="MJ9" i="1"/>
  <c r="MK9" i="1"/>
  <c r="ML9" i="1"/>
  <c r="MM9" i="1"/>
  <c r="MN9" i="1"/>
  <c r="ME10" i="1"/>
  <c r="MF10" i="1"/>
  <c r="MG10" i="1"/>
  <c r="MH10" i="1"/>
  <c r="MI10" i="1"/>
  <c r="MJ10" i="1"/>
  <c r="MK10" i="1"/>
  <c r="ML10" i="1"/>
  <c r="MM10" i="1"/>
  <c r="MN10" i="1"/>
  <c r="ME11" i="1"/>
  <c r="MF11" i="1"/>
  <c r="MG11" i="1"/>
  <c r="MH11" i="1"/>
  <c r="MI11" i="1"/>
  <c r="MJ11" i="1"/>
  <c r="MK11" i="1"/>
  <c r="ML11" i="1"/>
  <c r="MM11" i="1"/>
  <c r="MN11" i="1"/>
  <c r="ME12" i="1"/>
  <c r="MF12" i="1"/>
  <c r="MG12" i="1"/>
  <c r="MH12" i="1"/>
  <c r="MI12" i="1"/>
  <c r="MK12" i="1"/>
  <c r="ML12" i="1"/>
  <c r="MM12" i="1"/>
  <c r="MN12" i="1"/>
  <c r="ME13" i="1"/>
  <c r="MF13" i="1"/>
  <c r="MG13" i="1"/>
  <c r="MH13" i="1"/>
  <c r="MI13" i="1"/>
  <c r="MJ13" i="1"/>
  <c r="MK13" i="1"/>
  <c r="ML13" i="1"/>
  <c r="MM13" i="1"/>
  <c r="MN13" i="1"/>
  <c r="ME14" i="1"/>
  <c r="MF14" i="1"/>
  <c r="MG14" i="1"/>
  <c r="MH14" i="1"/>
  <c r="MI14" i="1"/>
  <c r="MJ14" i="1"/>
  <c r="MK14" i="1"/>
  <c r="ML14" i="1"/>
  <c r="MM14" i="1"/>
  <c r="MN14" i="1"/>
  <c r="ME15" i="1"/>
  <c r="MF15" i="1"/>
  <c r="MG15" i="1"/>
  <c r="MH15" i="1"/>
  <c r="MI15" i="1"/>
  <c r="MJ15" i="1"/>
  <c r="MK15" i="1"/>
  <c r="ML15" i="1"/>
  <c r="MM15" i="1"/>
  <c r="MN15" i="1"/>
  <c r="ME16" i="1"/>
  <c r="MF16" i="1"/>
  <c r="MG16" i="1"/>
  <c r="MH16" i="1"/>
  <c r="MI16" i="1"/>
  <c r="MJ16" i="1"/>
  <c r="MK16" i="1"/>
  <c r="ML16" i="1"/>
  <c r="MM16" i="1"/>
  <c r="MN16" i="1"/>
  <c r="ME17" i="1"/>
  <c r="MF17" i="1"/>
  <c r="MG17" i="1"/>
  <c r="MH17" i="1"/>
  <c r="MI17" i="1"/>
  <c r="MJ17" i="1"/>
  <c r="MK17" i="1"/>
  <c r="ML17" i="1"/>
  <c r="MM17" i="1"/>
  <c r="MN17" i="1"/>
  <c r="ME18" i="1"/>
  <c r="MF18" i="1"/>
  <c r="MG18" i="1"/>
  <c r="MH18" i="1"/>
  <c r="MI18" i="1"/>
  <c r="MJ18" i="1"/>
  <c r="MK18" i="1"/>
  <c r="ML18" i="1"/>
  <c r="MM18" i="1"/>
  <c r="MN18" i="1"/>
  <c r="ME20" i="1"/>
  <c r="MF20" i="1"/>
  <c r="MG20" i="1"/>
  <c r="MH20" i="1"/>
  <c r="MI20" i="1"/>
  <c r="MJ20" i="1"/>
  <c r="MK20" i="1"/>
  <c r="ML20" i="1"/>
  <c r="MM20" i="1"/>
  <c r="MN20" i="1"/>
  <c r="ME22" i="1"/>
  <c r="MF22" i="1"/>
  <c r="MG22" i="1"/>
  <c r="MH22" i="1"/>
  <c r="MI22" i="1"/>
  <c r="MJ22" i="1"/>
  <c r="MK22" i="1"/>
  <c r="ML22" i="1"/>
  <c r="MM22" i="1"/>
  <c r="MN22" i="1"/>
  <c r="ME23" i="1"/>
  <c r="MF23" i="1"/>
  <c r="MG23" i="1"/>
  <c r="MH23" i="1"/>
  <c r="MI23" i="1"/>
  <c r="MJ23" i="1"/>
  <c r="MK23" i="1"/>
  <c r="ML23" i="1"/>
  <c r="MM23" i="1"/>
  <c r="MN23" i="1"/>
  <c r="ME24" i="1"/>
  <c r="MF24" i="1"/>
  <c r="MG24" i="1"/>
  <c r="MH24" i="1"/>
  <c r="MI24" i="1"/>
  <c r="MJ24" i="1"/>
  <c r="MK24" i="1"/>
  <c r="ML24" i="1"/>
  <c r="MM24" i="1"/>
  <c r="MN24" i="1"/>
  <c r="ME25" i="1"/>
  <c r="MF25" i="1"/>
  <c r="MG25" i="1"/>
  <c r="MH25" i="1"/>
  <c r="MI25" i="1"/>
  <c r="MJ25" i="1"/>
  <c r="MK25" i="1"/>
  <c r="ML25" i="1"/>
  <c r="MM25" i="1"/>
  <c r="MN25" i="1"/>
  <c r="ME26" i="1"/>
  <c r="MF26" i="1"/>
  <c r="MG26" i="1"/>
  <c r="MI26" i="1"/>
  <c r="MJ26" i="1"/>
  <c r="MK26" i="1"/>
  <c r="ML26" i="1"/>
  <c r="MM26" i="1"/>
  <c r="MN26" i="1"/>
  <c r="GQ25" i="1"/>
  <c r="DX3" i="1" l="1"/>
  <c r="DZ3" i="1"/>
  <c r="CW5" i="1"/>
  <c r="CW6" i="1"/>
  <c r="CW7" i="1"/>
  <c r="CW8" i="1"/>
  <c r="CW9" i="1"/>
  <c r="CW10" i="1"/>
  <c r="CW11" i="1"/>
  <c r="CW12" i="1"/>
  <c r="CW13" i="1"/>
  <c r="CW14" i="1"/>
  <c r="CY14" i="1"/>
  <c r="CW15" i="1"/>
  <c r="CW16" i="1"/>
  <c r="CW17" i="1"/>
  <c r="CW18" i="1"/>
  <c r="CW20" i="1"/>
  <c r="CW22" i="1"/>
  <c r="CW23" i="1"/>
  <c r="CW24" i="1"/>
  <c r="CU25" i="1"/>
  <c r="CW25" i="1"/>
  <c r="CW26" i="1"/>
  <c r="CX25" i="1" l="1"/>
  <c r="CY25" i="1" s="1"/>
  <c r="AE17" i="72" l="1"/>
  <c r="E6" i="39"/>
  <c r="E7" i="39"/>
  <c r="A34" i="72" l="1"/>
  <c r="Y33" i="72"/>
  <c r="A33" i="72"/>
  <c r="I33" i="72" s="1"/>
  <c r="AQ33" i="72" s="1"/>
  <c r="Y29" i="72"/>
  <c r="A29" i="72"/>
  <c r="Y28" i="72"/>
  <c r="A28" i="72"/>
  <c r="C28" i="72" s="1"/>
  <c r="Y27" i="72"/>
  <c r="A27" i="72"/>
  <c r="Y26" i="72"/>
  <c r="A26" i="72"/>
  <c r="C26" i="72" s="1"/>
  <c r="Y25" i="72"/>
  <c r="A25" i="72"/>
  <c r="Y24" i="72"/>
  <c r="A24" i="72"/>
  <c r="Y23" i="72"/>
  <c r="A23" i="72"/>
  <c r="Y22" i="72"/>
  <c r="A22" i="72"/>
  <c r="C22" i="72" s="1"/>
  <c r="Y21" i="72"/>
  <c r="A21" i="72"/>
  <c r="Y20" i="72"/>
  <c r="A20" i="72"/>
  <c r="AA17" i="72"/>
  <c r="I17" i="72"/>
  <c r="Y16" i="72"/>
  <c r="S16" i="72"/>
  <c r="M16" i="72"/>
  <c r="A16" i="72"/>
  <c r="C16" i="72" s="1"/>
  <c r="S15" i="72"/>
  <c r="A15" i="72"/>
  <c r="C15" i="72" s="1"/>
  <c r="S14" i="72"/>
  <c r="A14" i="72"/>
  <c r="S13" i="72"/>
  <c r="A13" i="72"/>
  <c r="Y12" i="72"/>
  <c r="S12" i="72"/>
  <c r="M12" i="72"/>
  <c r="A12" i="72"/>
  <c r="C12" i="72" s="1"/>
  <c r="Y11" i="72"/>
  <c r="S11" i="72"/>
  <c r="M11" i="72"/>
  <c r="A11" i="72"/>
  <c r="S10" i="72"/>
  <c r="A10" i="72"/>
  <c r="S9" i="72"/>
  <c r="A9" i="72"/>
  <c r="M17" i="72" l="1"/>
  <c r="Y30" i="72"/>
  <c r="C24" i="72"/>
  <c r="C10" i="72"/>
  <c r="S17" i="72"/>
  <c r="Y17" i="72"/>
  <c r="C14" i="72"/>
  <c r="C20" i="72"/>
  <c r="S33" i="72"/>
  <c r="C9" i="72"/>
  <c r="C25" i="72"/>
  <c r="C29" i="72"/>
  <c r="I30" i="72"/>
  <c r="C34" i="72"/>
  <c r="AM34" i="72" s="1"/>
  <c r="Y34" i="72" s="1"/>
  <c r="Y35" i="72" s="1"/>
  <c r="C23" i="72"/>
  <c r="C27" i="72"/>
  <c r="C33" i="72"/>
  <c r="C11" i="72"/>
  <c r="Y37" i="72" l="1"/>
  <c r="C35" i="72"/>
  <c r="A48" i="69" l="1"/>
  <c r="HC5" i="1" l="1"/>
  <c r="HC24" i="1"/>
  <c r="HC23" i="1"/>
  <c r="HC22" i="1"/>
  <c r="HC20" i="1"/>
  <c r="HC6" i="1"/>
  <c r="HC7" i="1"/>
  <c r="HC8" i="1"/>
  <c r="HC9" i="1"/>
  <c r="HC10" i="1"/>
  <c r="HC11" i="1"/>
  <c r="HC12" i="1"/>
  <c r="HC13" i="1"/>
  <c r="HC14" i="1"/>
  <c r="HC15" i="1"/>
  <c r="HC16" i="1"/>
  <c r="HC17" i="1"/>
  <c r="HC18" i="1"/>
  <c r="M33" i="69"/>
  <c r="A32" i="69"/>
  <c r="A31" i="69"/>
  <c r="A26" i="69"/>
  <c r="A25" i="69"/>
  <c r="A24" i="69"/>
  <c r="Q29" i="69"/>
  <c r="O29" i="69"/>
  <c r="A23" i="69"/>
  <c r="Q28" i="69"/>
  <c r="O28" i="69"/>
  <c r="A22" i="69"/>
  <c r="A21" i="69"/>
  <c r="A20" i="69"/>
  <c r="A19" i="69"/>
  <c r="A18" i="69"/>
  <c r="A17" i="69"/>
  <c r="A16" i="69"/>
  <c r="A15" i="69"/>
  <c r="A14" i="69"/>
  <c r="A13" i="69"/>
  <c r="A12" i="69"/>
  <c r="A11" i="69"/>
  <c r="A10" i="69"/>
  <c r="A9" i="69"/>
  <c r="HD14" i="1" l="1"/>
  <c r="Y18" i="69"/>
  <c r="HC21" i="1"/>
  <c r="HD5" i="1"/>
  <c r="Y9" i="69"/>
  <c r="C31" i="69"/>
  <c r="C32" i="69"/>
  <c r="I31" i="69"/>
  <c r="C25" i="69"/>
  <c r="C12" i="69"/>
  <c r="C20" i="69"/>
  <c r="HC19" i="1"/>
  <c r="HD7" i="1"/>
  <c r="Y11" i="69" s="1"/>
  <c r="C15" i="69"/>
  <c r="C24" i="69"/>
  <c r="C18" i="69"/>
  <c r="C10" i="69"/>
  <c r="C9" i="69"/>
  <c r="C16" i="69"/>
  <c r="C17" i="69"/>
  <c r="C14" i="69"/>
  <c r="C21" i="69"/>
  <c r="C26" i="69"/>
  <c r="C22" i="69"/>
  <c r="C13" i="69"/>
  <c r="C33" i="69" l="1"/>
  <c r="U31" i="69"/>
  <c r="AF31" i="69"/>
  <c r="I27" i="69"/>
  <c r="O27" i="69" l="1"/>
  <c r="S29" i="59" l="1"/>
  <c r="S28" i="59"/>
  <c r="S27" i="59"/>
  <c r="S23" i="59"/>
  <c r="S22" i="59"/>
  <c r="S21" i="59"/>
  <c r="S19" i="59"/>
  <c r="S18" i="59"/>
  <c r="S17" i="59"/>
  <c r="S16" i="59"/>
  <c r="S15" i="59"/>
  <c r="S14" i="59"/>
  <c r="S13" i="59"/>
  <c r="S12" i="59"/>
  <c r="S11" i="59"/>
  <c r="S10" i="59"/>
  <c r="S9" i="59"/>
  <c r="S20" i="59"/>
  <c r="I30" i="59"/>
  <c r="S30" i="59" l="1"/>
  <c r="I35" i="60" l="1"/>
  <c r="M27" i="49" l="1"/>
  <c r="M35" i="49"/>
  <c r="I36" i="60"/>
  <c r="L36" i="60"/>
  <c r="E10" i="39" l="1"/>
  <c r="GL15" i="1" l="1"/>
  <c r="DY15" i="1"/>
  <c r="HU25" i="1" l="1"/>
  <c r="BX15" i="1" l="1"/>
  <c r="BX6" i="1"/>
  <c r="BX12" i="1"/>
  <c r="BX7" i="1"/>
  <c r="BX16" i="1"/>
  <c r="BX9" i="1"/>
  <c r="BX14" i="1"/>
  <c r="BX5" i="1"/>
  <c r="BX8" i="1"/>
  <c r="BX18" i="1"/>
  <c r="BX13" i="1"/>
  <c r="BX10" i="1"/>
  <c r="BX17" i="1"/>
  <c r="BX11" i="1"/>
  <c r="BX20" i="1"/>
  <c r="BX25" i="1"/>
  <c r="DF15" i="1" l="1"/>
  <c r="DF5" i="1"/>
  <c r="DF8" i="1"/>
  <c r="DF18" i="1"/>
  <c r="DF10" i="1"/>
  <c r="DF17" i="1"/>
  <c r="DF11" i="1"/>
  <c r="DF20" i="1"/>
  <c r="DD15" i="1"/>
  <c r="DD5" i="1"/>
  <c r="DD8" i="1"/>
  <c r="DD18" i="1"/>
  <c r="DD10" i="1"/>
  <c r="DD17" i="1"/>
  <c r="DD11" i="1"/>
  <c r="L37" i="60" l="1"/>
  <c r="I37" i="60" l="1"/>
  <c r="M9" i="61"/>
  <c r="L9" i="61"/>
  <c r="H9" i="61"/>
  <c r="G9" i="61"/>
  <c r="F9" i="61"/>
  <c r="E9" i="61"/>
  <c r="D9" i="61"/>
  <c r="E18" i="60"/>
  <c r="E19" i="60" s="1"/>
  <c r="E20" i="60" s="1"/>
  <c r="E21" i="60" s="1"/>
  <c r="E26" i="60" s="1"/>
  <c r="C18" i="60"/>
  <c r="C19" i="60" s="1"/>
  <c r="C20" i="60" s="1"/>
  <c r="C21" i="60" s="1"/>
  <c r="C26" i="60" s="1"/>
  <c r="A16" i="60"/>
  <c r="A15" i="60"/>
  <c r="A14" i="60"/>
  <c r="A13" i="60"/>
  <c r="A12" i="60"/>
  <c r="C23" i="60" l="1"/>
  <c r="C24" i="60" s="1"/>
  <c r="E23" i="60"/>
  <c r="E24" i="60" s="1"/>
  <c r="CB15" i="1"/>
  <c r="CB6" i="1"/>
  <c r="CB12" i="1"/>
  <c r="CB7" i="1"/>
  <c r="CB16" i="1"/>
  <c r="CB9" i="1"/>
  <c r="CB14" i="1"/>
  <c r="CB5" i="1"/>
  <c r="CB8" i="1"/>
  <c r="CB18" i="1"/>
  <c r="CB13" i="1"/>
  <c r="CB10" i="1"/>
  <c r="CB17" i="1"/>
  <c r="CB11" i="1"/>
  <c r="CD15" i="1"/>
  <c r="CD6" i="1"/>
  <c r="CD12" i="1"/>
  <c r="CD7" i="1"/>
  <c r="CE7" i="1" s="1"/>
  <c r="CD16" i="1"/>
  <c r="CD9" i="1"/>
  <c r="CD14" i="1"/>
  <c r="CE14" i="1" s="1"/>
  <c r="CD5" i="1"/>
  <c r="CE5" i="1" s="1"/>
  <c r="CD8" i="1"/>
  <c r="CD18" i="1"/>
  <c r="CD13" i="1"/>
  <c r="CD10" i="1"/>
  <c r="CD17" i="1"/>
  <c r="CD11" i="1"/>
  <c r="C25" i="60" l="1"/>
  <c r="C27" i="60" s="1"/>
  <c r="C29" i="60" s="1"/>
  <c r="H33" i="60" s="1"/>
  <c r="H35" i="60" s="1"/>
  <c r="E25" i="60"/>
  <c r="E27" i="60" s="1"/>
  <c r="E29" i="60" s="1"/>
  <c r="K33" i="60" s="1"/>
  <c r="K35" i="60" s="1"/>
  <c r="S24" i="59"/>
  <c r="A34" i="59"/>
  <c r="A11" i="59"/>
  <c r="A29" i="59"/>
  <c r="A27" i="59"/>
  <c r="A17" i="59"/>
  <c r="A16" i="59"/>
  <c r="A10" i="59"/>
  <c r="A33" i="59"/>
  <c r="A23" i="59"/>
  <c r="A21" i="59"/>
  <c r="A22" i="59"/>
  <c r="A15" i="59"/>
  <c r="A13" i="59"/>
  <c r="A14" i="59"/>
  <c r="A9" i="59"/>
  <c r="A12" i="59"/>
  <c r="A19" i="59"/>
  <c r="A18" i="59"/>
  <c r="A28" i="59"/>
  <c r="A20" i="59"/>
  <c r="I33" i="59" l="1"/>
  <c r="L33" i="60"/>
  <c r="I33" i="60"/>
  <c r="I34" i="60" s="1"/>
  <c r="L34" i="60" s="1"/>
  <c r="C13" i="59"/>
  <c r="C17" i="59"/>
  <c r="C18" i="59"/>
  <c r="C9" i="59"/>
  <c r="C20" i="59"/>
  <c r="C10" i="59"/>
  <c r="C34" i="59"/>
  <c r="C23" i="59"/>
  <c r="C12" i="59"/>
  <c r="C14" i="59"/>
  <c r="C33" i="59"/>
  <c r="C29" i="59"/>
  <c r="C21" i="59"/>
  <c r="C19" i="59"/>
  <c r="I24" i="59"/>
  <c r="C15" i="59"/>
  <c r="C22" i="59"/>
  <c r="C16" i="59"/>
  <c r="C27" i="59"/>
  <c r="L35" i="60" l="1"/>
  <c r="S33" i="59"/>
  <c r="C35" i="59"/>
  <c r="M8" i="58" l="1"/>
  <c r="L8" i="58"/>
  <c r="H8" i="58"/>
  <c r="G8" i="58"/>
  <c r="F8" i="58"/>
  <c r="E8" i="58"/>
  <c r="D8" i="58"/>
  <c r="E18" i="57"/>
  <c r="C18" i="57"/>
  <c r="A16" i="57"/>
  <c r="A15" i="57"/>
  <c r="A14" i="57"/>
  <c r="A13" i="57"/>
  <c r="A12" i="57"/>
  <c r="E22" i="57" l="1"/>
  <c r="C22" i="57"/>
  <c r="C23" i="57" s="1"/>
  <c r="C24" i="57" s="1"/>
  <c r="E23" i="57"/>
  <c r="E24" i="57" s="1"/>
  <c r="C19" i="57"/>
  <c r="C20" i="57" s="1"/>
  <c r="E19" i="57"/>
  <c r="E20" i="57" s="1"/>
  <c r="E26" i="57" l="1"/>
  <c r="E28" i="57" s="1"/>
  <c r="E30" i="57"/>
  <c r="FX2" i="1"/>
  <c r="C26" i="57"/>
  <c r="C28" i="57" s="1"/>
  <c r="C30" i="57" l="1"/>
  <c r="C44" i="59"/>
  <c r="C43" i="72" s="1"/>
  <c r="DG3" i="1" s="1"/>
  <c r="FX3" i="1"/>
  <c r="A34" i="49"/>
  <c r="A30" i="49"/>
  <c r="A32" i="49"/>
  <c r="A33" i="49"/>
  <c r="A31" i="49"/>
  <c r="A26" i="49"/>
  <c r="A19" i="49"/>
  <c r="A10" i="49"/>
  <c r="A16" i="49"/>
  <c r="A11" i="49"/>
  <c r="A20" i="49"/>
  <c r="A13" i="49"/>
  <c r="A18" i="49"/>
  <c r="A9" i="49"/>
  <c r="A12" i="49"/>
  <c r="A22" i="49"/>
  <c r="A17" i="49"/>
  <c r="A14" i="49"/>
  <c r="A21" i="49"/>
  <c r="A15" i="49"/>
  <c r="DK15" i="1"/>
  <c r="DK5" i="1"/>
  <c r="DK8" i="1"/>
  <c r="DK18" i="1"/>
  <c r="DK10" i="1"/>
  <c r="DK17" i="1"/>
  <c r="DK11" i="1"/>
  <c r="DH15" i="1"/>
  <c r="DH5" i="1"/>
  <c r="DH8" i="1"/>
  <c r="DH18" i="1"/>
  <c r="DH10" i="1"/>
  <c r="DH17" i="1"/>
  <c r="DH11" i="1"/>
  <c r="EO14" i="1" l="1"/>
  <c r="EO25" i="1"/>
  <c r="C33" i="49"/>
  <c r="C31" i="49"/>
  <c r="C32" i="49"/>
  <c r="C30" i="49"/>
  <c r="C34" i="49"/>
  <c r="C26" i="49"/>
  <c r="W18" i="49"/>
  <c r="I33" i="49"/>
  <c r="W11" i="49"/>
  <c r="C14" i="49"/>
  <c r="C17" i="49"/>
  <c r="C22" i="49"/>
  <c r="C10" i="49"/>
  <c r="C12" i="49"/>
  <c r="C9" i="49"/>
  <c r="W9" i="49"/>
  <c r="C16" i="49"/>
  <c r="C18" i="49"/>
  <c r="C20" i="49"/>
  <c r="C21" i="49"/>
  <c r="C13" i="49"/>
  <c r="C15" i="49"/>
  <c r="EQ25" i="1" l="1"/>
  <c r="ER25" i="1" s="1"/>
  <c r="EV25" i="1" s="1"/>
  <c r="EW25" i="1" s="1"/>
  <c r="EQ14" i="1"/>
  <c r="ER14" i="1" s="1"/>
  <c r="ES14" i="1" s="1"/>
  <c r="DN10" i="1"/>
  <c r="ES25" i="1" l="1"/>
  <c r="EY25" i="1"/>
  <c r="EV14" i="1"/>
  <c r="EW14" i="1" s="1"/>
  <c r="EX14" i="1" s="1"/>
  <c r="EZ14" i="1" s="1"/>
  <c r="AI25" i="73" s="1"/>
  <c r="EY14" i="1"/>
  <c r="DN15" i="1"/>
  <c r="DN18" i="1"/>
  <c r="DN11" i="1"/>
  <c r="DN17" i="1"/>
  <c r="DN5" i="1"/>
  <c r="DO5" i="1" l="1"/>
  <c r="DN8" i="1"/>
  <c r="BP25" i="1" l="1"/>
  <c r="BP24" i="1"/>
  <c r="BP22" i="1"/>
  <c r="BP23" i="1"/>
  <c r="BR11" i="1"/>
  <c r="BR17" i="1"/>
  <c r="BR10" i="1"/>
  <c r="BR13" i="1"/>
  <c r="BR18" i="1"/>
  <c r="BR8" i="1"/>
  <c r="BR5" i="1"/>
  <c r="BR14" i="1"/>
  <c r="BR9" i="1"/>
  <c r="BR16" i="1"/>
  <c r="BR7" i="1"/>
  <c r="BR12" i="1"/>
  <c r="BR15" i="1"/>
  <c r="BO21" i="1"/>
  <c r="AT21" i="1"/>
  <c r="I21" i="1"/>
  <c r="O6" i="1"/>
  <c r="IY4" i="1" l="1"/>
  <c r="AD22" i="1"/>
  <c r="AH22" i="1" s="1"/>
  <c r="HR22" i="1" s="1"/>
  <c r="HS22" i="1"/>
  <c r="AJ22" i="1"/>
  <c r="AK22" i="1" s="1"/>
  <c r="AM22" i="1" s="1"/>
  <c r="AS22" i="1" s="1"/>
  <c r="EC22" i="1" s="1"/>
  <c r="KF10" i="1"/>
  <c r="HW22" i="1"/>
  <c r="HX22" i="1"/>
  <c r="IH22" i="1"/>
  <c r="HZ1" i="1"/>
  <c r="IC1" i="1"/>
  <c r="IZ4" i="1"/>
  <c r="JA4" i="1"/>
  <c r="JB4" i="1"/>
  <c r="JC4" i="1"/>
  <c r="JD4" i="1"/>
  <c r="JE4" i="1"/>
  <c r="JF4" i="1"/>
  <c r="JG4" i="1"/>
  <c r="JH4" i="1"/>
  <c r="JI4" i="1"/>
  <c r="JJ4" i="1"/>
  <c r="JK4" i="1"/>
  <c r="JL4" i="1"/>
  <c r="JM4" i="1"/>
  <c r="JN4" i="1"/>
  <c r="JO4" i="1"/>
  <c r="JP4" i="1"/>
  <c r="JQ4" i="1"/>
  <c r="JR4" i="1"/>
  <c r="JS4" i="1"/>
  <c r="JT4" i="1"/>
  <c r="JU4" i="1"/>
  <c r="JV4" i="1"/>
  <c r="JW4" i="1"/>
  <c r="LE4" i="1"/>
  <c r="J22" i="1"/>
  <c r="KG22" i="1"/>
  <c r="KB22" i="1"/>
  <c r="KN22" i="1" s="1"/>
  <c r="KH22" i="1"/>
  <c r="MY22" i="1" s="1"/>
  <c r="KC22" i="1"/>
  <c r="KI22" i="1"/>
  <c r="KD22" i="1"/>
  <c r="KJ22" i="1"/>
  <c r="NA22" i="1" s="1"/>
  <c r="LF4" i="1"/>
  <c r="LG4" i="1"/>
  <c r="LH4" i="1"/>
  <c r="LI4" i="1"/>
  <c r="LJ4" i="1"/>
  <c r="LK4" i="1"/>
  <c r="LL4" i="1"/>
  <c r="LM4" i="1"/>
  <c r="LN4" i="1"/>
  <c r="LO4" i="1"/>
  <c r="LP4" i="1"/>
  <c r="LQ4" i="1"/>
  <c r="LR4" i="1"/>
  <c r="LS4" i="1"/>
  <c r="LT4" i="1"/>
  <c r="LU4" i="1"/>
  <c r="LV4" i="1"/>
  <c r="LW4" i="1"/>
  <c r="LX4" i="1"/>
  <c r="LY4" i="1"/>
  <c r="LZ4" i="1"/>
  <c r="MA4" i="1"/>
  <c r="MB4" i="1"/>
  <c r="MC4" i="1"/>
  <c r="NV4" i="1"/>
  <c r="NC22" i="1"/>
  <c r="ND22" i="1" s="1"/>
  <c r="MS22" i="1"/>
  <c r="NE22" i="1" s="1"/>
  <c r="GS22" i="1"/>
  <c r="MR22" i="1"/>
  <c r="MT22" i="1"/>
  <c r="MU22" i="1"/>
  <c r="NW4" i="1"/>
  <c r="NX4" i="1"/>
  <c r="NY4" i="1"/>
  <c r="NZ4" i="1"/>
  <c r="OA4" i="1"/>
  <c r="OB4" i="1"/>
  <c r="OC4" i="1"/>
  <c r="OD4" i="1"/>
  <c r="OE4" i="1"/>
  <c r="OF4" i="1"/>
  <c r="OG4" i="1"/>
  <c r="OH4" i="1"/>
  <c r="OI4" i="1"/>
  <c r="OJ4" i="1"/>
  <c r="OK4" i="1"/>
  <c r="OL4" i="1"/>
  <c r="OM4" i="1"/>
  <c r="ON4" i="1"/>
  <c r="OO4" i="1"/>
  <c r="OP4" i="1"/>
  <c r="OQ4" i="1"/>
  <c r="OR4" i="1"/>
  <c r="OS4" i="1"/>
  <c r="OT4" i="1"/>
  <c r="AW22" i="1"/>
  <c r="DC22" i="1"/>
  <c r="BR22" i="1"/>
  <c r="BS22" i="1" s="1"/>
  <c r="CA16" i="1"/>
  <c r="BY9" i="1"/>
  <c r="CA5" i="1"/>
  <c r="CA8" i="1"/>
  <c r="CA13" i="1"/>
  <c r="CA10" i="1"/>
  <c r="CA11" i="1"/>
  <c r="I15" i="1"/>
  <c r="C11" i="73" s="1"/>
  <c r="C15" i="73" s="1"/>
  <c r="AS15" i="1"/>
  <c r="EC15" i="1" s="1"/>
  <c r="EF15" i="1" s="1"/>
  <c r="BR6" i="1"/>
  <c r="AS6" i="1"/>
  <c r="EC6" i="1" s="1"/>
  <c r="EF6" i="1" s="1"/>
  <c r="EG6" i="1" s="1"/>
  <c r="BR26" i="1"/>
  <c r="AJ26" i="1"/>
  <c r="AK26" i="1" s="1"/>
  <c r="AM26" i="1" s="1"/>
  <c r="AS26" i="1" s="1"/>
  <c r="EC26" i="1" s="1"/>
  <c r="EF26" i="1" s="1"/>
  <c r="EG26" i="1" s="1"/>
  <c r="AJ12" i="1"/>
  <c r="AK12" i="1" s="1"/>
  <c r="AM12" i="1" s="1"/>
  <c r="AS12" i="1" s="1"/>
  <c r="EC12" i="1" s="1"/>
  <c r="EF12" i="1" s="1"/>
  <c r="EG12" i="1" s="1"/>
  <c r="AJ24" i="1"/>
  <c r="AK24" i="1" s="1"/>
  <c r="AM24" i="1" s="1"/>
  <c r="AS24" i="1" s="1"/>
  <c r="EC24" i="1" s="1"/>
  <c r="EF24" i="1" s="1"/>
  <c r="EG24" i="1" s="1"/>
  <c r="AJ25" i="1"/>
  <c r="AK25" i="1" s="1"/>
  <c r="AM25" i="1" s="1"/>
  <c r="BR20" i="1"/>
  <c r="AJ20" i="1"/>
  <c r="R20" i="1" s="1"/>
  <c r="R21" i="1" s="1"/>
  <c r="BR23" i="1"/>
  <c r="AJ23" i="1"/>
  <c r="AK23" i="1" s="1"/>
  <c r="AM23" i="1" s="1"/>
  <c r="EA23" i="1" s="1"/>
  <c r="EC23" i="1" s="1"/>
  <c r="EF23" i="1" s="1"/>
  <c r="EG23" i="1" s="1"/>
  <c r="AS23" i="1"/>
  <c r="BF23" i="1" s="1"/>
  <c r="AW23" i="1"/>
  <c r="J23" i="1"/>
  <c r="AD23" i="1"/>
  <c r="AG23" i="1" s="1"/>
  <c r="M26" i="1"/>
  <c r="I34" i="73" s="1"/>
  <c r="AD26" i="1"/>
  <c r="AG26" i="1" s="1"/>
  <c r="AW12" i="1"/>
  <c r="AD12" i="1"/>
  <c r="AG12" i="1" s="1"/>
  <c r="K23" i="73" s="1"/>
  <c r="AW24" i="1"/>
  <c r="J24" i="1"/>
  <c r="AD24" i="1"/>
  <c r="AG24" i="1" s="1"/>
  <c r="AW25" i="1"/>
  <c r="AG25" i="1"/>
  <c r="AW20" i="1"/>
  <c r="AD20" i="1"/>
  <c r="AG20" i="1" s="1"/>
  <c r="AW6" i="1"/>
  <c r="AE6" i="1"/>
  <c r="AG6" i="1" s="1"/>
  <c r="K20" i="73" s="1"/>
  <c r="AW15" i="1"/>
  <c r="C57" i="49"/>
  <c r="Q16" i="49"/>
  <c r="Q23" i="49" s="1"/>
  <c r="Q33" i="49"/>
  <c r="Q27" i="49"/>
  <c r="I23" i="49"/>
  <c r="I27" i="49"/>
  <c r="C27" i="49"/>
  <c r="C35" i="49"/>
  <c r="DC23" i="1"/>
  <c r="DC12" i="1"/>
  <c r="DC24" i="1"/>
  <c r="DC20" i="1"/>
  <c r="DC6" i="1"/>
  <c r="AJ11" i="1"/>
  <c r="AK11" i="1" s="1"/>
  <c r="AM11" i="1" s="1"/>
  <c r="AS11" i="1" s="1"/>
  <c r="EC11" i="1" s="1"/>
  <c r="EF11" i="1" s="1"/>
  <c r="EG11" i="1" s="1"/>
  <c r="EP11" i="1" s="1"/>
  <c r="AW11" i="1"/>
  <c r="DC11" i="1"/>
  <c r="DE11" i="1" s="1"/>
  <c r="AD11" i="1"/>
  <c r="AG11" i="1" s="1"/>
  <c r="K19" i="73" s="1"/>
  <c r="AJ10" i="1"/>
  <c r="AK10" i="1" s="1"/>
  <c r="AM10" i="1" s="1"/>
  <c r="AS10" i="1" s="1"/>
  <c r="EC10" i="1" s="1"/>
  <c r="EF10" i="1" s="1"/>
  <c r="EG10" i="1" s="1"/>
  <c r="EP10" i="1" s="1"/>
  <c r="AW10" i="1"/>
  <c r="DC10" i="1"/>
  <c r="DE10" i="1" s="1"/>
  <c r="AD10" i="1"/>
  <c r="AG10" i="1" s="1"/>
  <c r="AJ13" i="1"/>
  <c r="AK13" i="1" s="1"/>
  <c r="AM13" i="1" s="1"/>
  <c r="AS13" i="1" s="1"/>
  <c r="EC13" i="1" s="1"/>
  <c r="EF13" i="1" s="1"/>
  <c r="EG13" i="1" s="1"/>
  <c r="AW13" i="1"/>
  <c r="DC13" i="1"/>
  <c r="AD13" i="1"/>
  <c r="AG13" i="1" s="1"/>
  <c r="K24" i="73" s="1"/>
  <c r="AS14" i="1"/>
  <c r="EC14" i="1" s="1"/>
  <c r="EF14" i="1" s="1"/>
  <c r="AW14" i="1"/>
  <c r="DC14" i="1"/>
  <c r="AE14" i="1"/>
  <c r="AG14" i="1" s="1"/>
  <c r="K25" i="73" s="1"/>
  <c r="DY14" i="1"/>
  <c r="AJ9" i="1"/>
  <c r="AK9" i="1" s="1"/>
  <c r="AM9" i="1" s="1"/>
  <c r="AS9" i="1" s="1"/>
  <c r="EC9" i="1" s="1"/>
  <c r="EF9" i="1" s="1"/>
  <c r="EG9" i="1" s="1"/>
  <c r="AW9" i="1"/>
  <c r="DC9" i="1"/>
  <c r="AD9" i="1"/>
  <c r="AG9" i="1" s="1"/>
  <c r="K22" i="73" s="1"/>
  <c r="AJ16" i="1"/>
  <c r="AK16" i="1" s="1"/>
  <c r="AM16" i="1" s="1"/>
  <c r="AS16" i="1" s="1"/>
  <c r="EC16" i="1" s="1"/>
  <c r="EF16" i="1" s="1"/>
  <c r="EG16" i="1" s="1"/>
  <c r="AW16" i="1"/>
  <c r="DC16" i="1"/>
  <c r="AD16" i="1"/>
  <c r="AG16" i="1" s="1"/>
  <c r="K26" i="73" s="1"/>
  <c r="AJ7" i="1"/>
  <c r="AK7" i="1" s="1"/>
  <c r="I7" i="1"/>
  <c r="C21" i="73" s="1"/>
  <c r="C30" i="73" s="1"/>
  <c r="AW7" i="1"/>
  <c r="DC7" i="1"/>
  <c r="GZ15" i="1"/>
  <c r="GZ17" i="1"/>
  <c r="GZ18" i="1"/>
  <c r="GZ8" i="1"/>
  <c r="GZ5" i="1"/>
  <c r="AJ5" i="1"/>
  <c r="AK5" i="1" s="1"/>
  <c r="AM5" i="1" s="1"/>
  <c r="AS5" i="1" s="1"/>
  <c r="EC5" i="1" s="1"/>
  <c r="AW5" i="1"/>
  <c r="AD5" i="1"/>
  <c r="AG5" i="1" s="1"/>
  <c r="K9" i="73" s="1"/>
  <c r="O9" i="73" s="1"/>
  <c r="AJ8" i="1"/>
  <c r="AK8" i="1" s="1"/>
  <c r="AM8" i="1" s="1"/>
  <c r="AS8" i="1" s="1"/>
  <c r="EC8" i="1" s="1"/>
  <c r="EF8" i="1" s="1"/>
  <c r="EG8" i="1" s="1"/>
  <c r="AW8" i="1"/>
  <c r="AD8" i="1"/>
  <c r="AG8" i="1" s="1"/>
  <c r="K10" i="73" s="1"/>
  <c r="O10" i="73" s="1"/>
  <c r="AJ18" i="1"/>
  <c r="AK18" i="1" s="1"/>
  <c r="AM18" i="1" s="1"/>
  <c r="AS18" i="1" s="1"/>
  <c r="EC18" i="1" s="1"/>
  <c r="EF18" i="1" s="1"/>
  <c r="EG18" i="1" s="1"/>
  <c r="AW18" i="1"/>
  <c r="AJ17" i="1"/>
  <c r="AK17" i="1" s="1"/>
  <c r="AM17" i="1" s="1"/>
  <c r="AS17" i="1" s="1"/>
  <c r="EC17" i="1" s="1"/>
  <c r="EF17" i="1" s="1"/>
  <c r="EG17" i="1" s="1"/>
  <c r="AW17" i="1"/>
  <c r="AD17" i="1"/>
  <c r="AG17" i="1" s="1"/>
  <c r="K12" i="73" s="1"/>
  <c r="O12" i="73" s="1"/>
  <c r="I27" i="1"/>
  <c r="HO3" i="1"/>
  <c r="HO23" i="1" s="1"/>
  <c r="HM3" i="1"/>
  <c r="HM23" i="1" s="1"/>
  <c r="A79" i="10"/>
  <c r="A82" i="10"/>
  <c r="A85" i="10"/>
  <c r="A103" i="10"/>
  <c r="BR24" i="1"/>
  <c r="BR25" i="1"/>
  <c r="IA12" i="1"/>
  <c r="MJ12" i="1" s="1"/>
  <c r="FT23" i="1"/>
  <c r="FU23" i="1"/>
  <c r="Q22" i="59" s="1"/>
  <c r="FN23" i="1"/>
  <c r="FN26" i="1"/>
  <c r="FT12" i="1"/>
  <c r="FU12" i="1"/>
  <c r="Q15" i="59" s="1"/>
  <c r="FN12" i="1"/>
  <c r="FT22" i="1"/>
  <c r="FU22" i="1"/>
  <c r="Q21" i="59" s="1"/>
  <c r="FN22" i="1"/>
  <c r="FT24" i="1"/>
  <c r="FU24" i="1"/>
  <c r="Q23" i="59" s="1"/>
  <c r="FN24" i="1"/>
  <c r="FN25" i="1"/>
  <c r="FT20" i="1"/>
  <c r="FT21" i="1" s="1"/>
  <c r="FU20" i="1"/>
  <c r="FN20" i="1"/>
  <c r="FT6" i="1"/>
  <c r="FU6" i="1"/>
  <c r="Q10" i="59" s="1"/>
  <c r="FN6" i="1"/>
  <c r="FT11" i="1"/>
  <c r="FU11" i="1"/>
  <c r="Q14" i="59" s="1"/>
  <c r="FN11" i="1"/>
  <c r="FT10" i="1"/>
  <c r="FU10" i="1"/>
  <c r="Q13" i="59" s="1"/>
  <c r="FN10" i="1"/>
  <c r="FT13" i="1"/>
  <c r="FU13" i="1"/>
  <c r="Q16" i="59" s="1"/>
  <c r="FN13" i="1"/>
  <c r="GY5" i="1"/>
  <c r="HE5" i="1" s="1"/>
  <c r="FT14" i="1"/>
  <c r="FU14" i="1"/>
  <c r="Q17" i="59" s="1"/>
  <c r="FP14" i="1"/>
  <c r="FT9" i="1"/>
  <c r="FN9" i="1"/>
  <c r="FT16" i="1"/>
  <c r="FN16" i="1"/>
  <c r="FT7" i="1"/>
  <c r="FU7" i="1"/>
  <c r="Q11" i="59" s="1"/>
  <c r="FN7" i="1"/>
  <c r="GY15" i="1"/>
  <c r="GY17" i="1"/>
  <c r="GY18" i="1"/>
  <c r="GY8" i="1"/>
  <c r="GS15" i="1"/>
  <c r="GS17" i="1"/>
  <c r="HU17" i="1"/>
  <c r="HV17" i="1"/>
  <c r="HX17" i="1"/>
  <c r="HY17" i="1"/>
  <c r="GS18" i="1"/>
  <c r="GS8" i="1"/>
  <c r="GS5" i="1"/>
  <c r="HU15" i="1"/>
  <c r="HV15" i="1"/>
  <c r="IH15" i="1" s="1"/>
  <c r="HX15" i="1"/>
  <c r="HY15" i="1"/>
  <c r="HU18" i="1"/>
  <c r="HV18" i="1"/>
  <c r="IH18" i="1" s="1"/>
  <c r="HX18" i="1"/>
  <c r="HY18" i="1"/>
  <c r="HU8" i="1"/>
  <c r="HV8" i="1"/>
  <c r="HX8" i="1"/>
  <c r="HY8" i="1"/>
  <c r="HU5" i="1"/>
  <c r="HV5" i="1"/>
  <c r="HX5" i="1"/>
  <c r="HY5" i="1"/>
  <c r="DC17" i="1"/>
  <c r="DE17" i="1" s="1"/>
  <c r="DC18" i="1"/>
  <c r="DE18" i="1" s="1"/>
  <c r="DC8" i="1"/>
  <c r="DE8" i="1" s="1"/>
  <c r="DC5" i="1"/>
  <c r="DE5" i="1" s="1"/>
  <c r="DC15" i="1"/>
  <c r="DE15" i="1" s="1"/>
  <c r="GZ7" i="1"/>
  <c r="GZ16" i="1"/>
  <c r="GZ9" i="1"/>
  <c r="GZ14" i="1"/>
  <c r="GZ13" i="1"/>
  <c r="GZ10" i="1"/>
  <c r="GZ11" i="1"/>
  <c r="GZ6" i="1"/>
  <c r="GZ20" i="1"/>
  <c r="GZ12" i="1"/>
  <c r="GZ22" i="1"/>
  <c r="GZ24" i="1"/>
  <c r="GZ23" i="1"/>
  <c r="FT5" i="1"/>
  <c r="FU5" i="1"/>
  <c r="Q9" i="59" s="1"/>
  <c r="FT8" i="1"/>
  <c r="FU8" i="1"/>
  <c r="Q12" i="59" s="1"/>
  <c r="FT18" i="1"/>
  <c r="FU18" i="1"/>
  <c r="Q19" i="59" s="1"/>
  <c r="FT17" i="1"/>
  <c r="FU17" i="1"/>
  <c r="Q18" i="59" s="1"/>
  <c r="FT15" i="1"/>
  <c r="GY23" i="1"/>
  <c r="GY12" i="1"/>
  <c r="GY22" i="1"/>
  <c r="GY24" i="1"/>
  <c r="GY20" i="1"/>
  <c r="GY21" i="1" s="1"/>
  <c r="GY6" i="1"/>
  <c r="GY11" i="1"/>
  <c r="GY10" i="1"/>
  <c r="GY13" i="1"/>
  <c r="GY14" i="1"/>
  <c r="GY9" i="1"/>
  <c r="GY16" i="1"/>
  <c r="GY7" i="1"/>
  <c r="E2" i="14"/>
  <c r="E8" i="14"/>
  <c r="E3" i="14"/>
  <c r="F3" i="18"/>
  <c r="F5" i="18"/>
  <c r="DO8" i="1" s="1"/>
  <c r="F4" i="18"/>
  <c r="DO18" i="1" s="1"/>
  <c r="G3" i="18"/>
  <c r="G4" i="18"/>
  <c r="HD18" i="1" s="1"/>
  <c r="Y22" i="69" s="1"/>
  <c r="G5" i="18"/>
  <c r="FN15" i="1"/>
  <c r="FN17" i="1"/>
  <c r="FN18" i="1"/>
  <c r="FN8" i="1"/>
  <c r="FN5" i="1"/>
  <c r="E3" i="18"/>
  <c r="E4" i="18"/>
  <c r="CE18" i="1" s="1"/>
  <c r="W22" i="49" s="1"/>
  <c r="E5" i="18"/>
  <c r="A63" i="10"/>
  <c r="D3" i="18"/>
  <c r="AP12" i="1" s="1"/>
  <c r="D4" i="18"/>
  <c r="D5" i="18"/>
  <c r="C3" i="18"/>
  <c r="C4" i="18"/>
  <c r="C5" i="18"/>
  <c r="A97" i="10"/>
  <c r="A94" i="10"/>
  <c r="A72" i="10"/>
  <c r="I72" i="10" s="1"/>
  <c r="A69" i="10"/>
  <c r="A66" i="10"/>
  <c r="A75" i="10"/>
  <c r="I75" i="10" s="1"/>
  <c r="DA2" i="1"/>
  <c r="DA1" i="1"/>
  <c r="DG1" i="1"/>
  <c r="FX1" i="1"/>
  <c r="BN2" i="1"/>
  <c r="BV2" i="1" s="1"/>
  <c r="BN1" i="1"/>
  <c r="BV1" i="1" s="1"/>
  <c r="FR2" i="1"/>
  <c r="FR1" i="1"/>
  <c r="FN14" i="1"/>
  <c r="GM3" i="1"/>
  <c r="GJ3" i="1"/>
  <c r="T26" i="1"/>
  <c r="T12" i="1"/>
  <c r="T22" i="1"/>
  <c r="T24" i="1"/>
  <c r="T25" i="1"/>
  <c r="T20" i="1"/>
  <c r="T21" i="1" s="1"/>
  <c r="T6" i="1"/>
  <c r="T11" i="1"/>
  <c r="T17" i="1"/>
  <c r="T10" i="1"/>
  <c r="T8" i="1"/>
  <c r="T14" i="1"/>
  <c r="T16" i="1"/>
  <c r="T23" i="1"/>
  <c r="NC7" i="1"/>
  <c r="ND7" i="1" s="1"/>
  <c r="NC16" i="1"/>
  <c r="ND16" i="1" s="1"/>
  <c r="NC9" i="1"/>
  <c r="ND9" i="1" s="1"/>
  <c r="NC14" i="1"/>
  <c r="ND14" i="1" s="1"/>
  <c r="NC5" i="1"/>
  <c r="ND5" i="1" s="1"/>
  <c r="NC8" i="1"/>
  <c r="ND8" i="1" s="1"/>
  <c r="NC18" i="1"/>
  <c r="ND18" i="1" s="1"/>
  <c r="NC13" i="1"/>
  <c r="ND13" i="1" s="1"/>
  <c r="NC10" i="1"/>
  <c r="ND10" i="1" s="1"/>
  <c r="NC17" i="1"/>
  <c r="ND17" i="1" s="1"/>
  <c r="NC11" i="1"/>
  <c r="ND11" i="1" s="1"/>
  <c r="NC15" i="1"/>
  <c r="ND15" i="1" s="1"/>
  <c r="NC6" i="1"/>
  <c r="ND6" i="1" s="1"/>
  <c r="NC20" i="1"/>
  <c r="ND20" i="1" s="1"/>
  <c r="NC24" i="1"/>
  <c r="ND24" i="1" s="1"/>
  <c r="NC12" i="1"/>
  <c r="ND12" i="1" s="1"/>
  <c r="NC23" i="1"/>
  <c r="ND23" i="1" s="1"/>
  <c r="A109" i="10"/>
  <c r="MR26" i="1"/>
  <c r="MS26" i="1"/>
  <c r="NE26" i="1" s="1"/>
  <c r="MT26" i="1"/>
  <c r="NG26" i="1" s="1"/>
  <c r="MV26" i="1"/>
  <c r="MR12" i="1"/>
  <c r="MS12" i="1"/>
  <c r="NE12" i="1" s="1"/>
  <c r="MT12" i="1"/>
  <c r="MU12" i="1"/>
  <c r="MV12" i="1"/>
  <c r="MV22" i="1"/>
  <c r="MR24" i="1"/>
  <c r="MS24" i="1"/>
  <c r="NE24" i="1" s="1"/>
  <c r="MT24" i="1"/>
  <c r="NG24" i="1" s="1"/>
  <c r="MU24" i="1"/>
  <c r="MV24" i="1"/>
  <c r="MR25" i="1"/>
  <c r="MS25" i="1"/>
  <c r="NE25" i="1" s="1"/>
  <c r="MT25" i="1"/>
  <c r="NG25" i="1" s="1"/>
  <c r="MU25" i="1"/>
  <c r="MV25" i="1"/>
  <c r="MR20" i="1"/>
  <c r="MS20" i="1"/>
  <c r="NE20" i="1" s="1"/>
  <c r="MT20" i="1"/>
  <c r="NG20" i="1" s="1"/>
  <c r="MU20" i="1"/>
  <c r="MV20" i="1"/>
  <c r="MR6" i="1"/>
  <c r="MS6" i="1"/>
  <c r="NE6" i="1" s="1"/>
  <c r="MT6" i="1"/>
  <c r="NG6" i="1" s="1"/>
  <c r="MU6" i="1"/>
  <c r="MV6" i="1"/>
  <c r="MR15" i="1"/>
  <c r="MS15" i="1"/>
  <c r="NE15" i="1" s="1"/>
  <c r="MT15" i="1"/>
  <c r="NG15" i="1" s="1"/>
  <c r="MU15" i="1"/>
  <c r="MV15" i="1"/>
  <c r="MR11" i="1"/>
  <c r="MS11" i="1"/>
  <c r="NE11" i="1" s="1"/>
  <c r="MT11" i="1"/>
  <c r="NG11" i="1" s="1"/>
  <c r="MU11" i="1"/>
  <c r="MV11" i="1"/>
  <c r="MR17" i="1"/>
  <c r="MS17" i="1"/>
  <c r="NE17" i="1" s="1"/>
  <c r="MT17" i="1"/>
  <c r="NG17" i="1" s="1"/>
  <c r="MU17" i="1"/>
  <c r="MV17" i="1"/>
  <c r="MR10" i="1"/>
  <c r="MS10" i="1"/>
  <c r="NE10" i="1" s="1"/>
  <c r="MT10" i="1"/>
  <c r="NG10" i="1" s="1"/>
  <c r="MU10" i="1"/>
  <c r="MV10" i="1"/>
  <c r="MR13" i="1"/>
  <c r="MS13" i="1"/>
  <c r="NE13" i="1" s="1"/>
  <c r="MT13" i="1"/>
  <c r="NG13" i="1" s="1"/>
  <c r="MU13" i="1"/>
  <c r="MV13" i="1"/>
  <c r="MR18" i="1"/>
  <c r="MS18" i="1"/>
  <c r="NE18" i="1" s="1"/>
  <c r="MT18" i="1"/>
  <c r="NG18" i="1" s="1"/>
  <c r="MU18" i="1"/>
  <c r="MV18" i="1"/>
  <c r="MR8" i="1"/>
  <c r="MS8" i="1"/>
  <c r="NE8" i="1" s="1"/>
  <c r="MT8" i="1"/>
  <c r="MU8" i="1"/>
  <c r="MV8" i="1"/>
  <c r="MR5" i="1"/>
  <c r="MS5" i="1"/>
  <c r="NE5" i="1" s="1"/>
  <c r="MT5" i="1"/>
  <c r="NG5" i="1" s="1"/>
  <c r="MU5" i="1"/>
  <c r="MV5" i="1"/>
  <c r="MR14" i="1"/>
  <c r="MS14" i="1"/>
  <c r="NE14" i="1" s="1"/>
  <c r="MT14" i="1"/>
  <c r="NG14" i="1" s="1"/>
  <c r="MU14" i="1"/>
  <c r="MV14" i="1"/>
  <c r="MR9" i="1"/>
  <c r="MS9" i="1"/>
  <c r="NE9" i="1" s="1"/>
  <c r="MT9" i="1"/>
  <c r="MU9" i="1"/>
  <c r="MV9" i="1"/>
  <c r="MR16" i="1"/>
  <c r="MS16" i="1"/>
  <c r="NE16" i="1" s="1"/>
  <c r="MT16" i="1"/>
  <c r="NG16" i="1" s="1"/>
  <c r="MU16" i="1"/>
  <c r="MV16" i="1"/>
  <c r="MR7" i="1"/>
  <c r="MS7" i="1"/>
  <c r="NE7" i="1" s="1"/>
  <c r="MT7" i="1"/>
  <c r="MU7" i="1"/>
  <c r="MV7" i="1"/>
  <c r="HZ14" i="1"/>
  <c r="MS23" i="1"/>
  <c r="NE23" i="1" s="1"/>
  <c r="MT23" i="1"/>
  <c r="NG23" i="1" s="1"/>
  <c r="MU23" i="1"/>
  <c r="MR23" i="1"/>
  <c r="MV23" i="1"/>
  <c r="NU4" i="1"/>
  <c r="NT4" i="1"/>
  <c r="NS4" i="1"/>
  <c r="NR4" i="1"/>
  <c r="NQ4" i="1"/>
  <c r="NP4" i="1"/>
  <c r="KX26" i="1"/>
  <c r="NO26" i="1" s="1"/>
  <c r="KX12" i="1"/>
  <c r="NO12" i="1" s="1"/>
  <c r="KX22" i="1"/>
  <c r="NO22" i="1" s="1"/>
  <c r="KX24" i="1"/>
  <c r="NO24" i="1" s="1"/>
  <c r="KX25" i="1"/>
  <c r="NO25" i="1" s="1"/>
  <c r="KX20" i="1"/>
  <c r="NO20" i="1" s="1"/>
  <c r="KX6" i="1"/>
  <c r="NO6" i="1" s="1"/>
  <c r="KX15" i="1"/>
  <c r="NO15" i="1" s="1"/>
  <c r="KX11" i="1"/>
  <c r="NO11" i="1" s="1"/>
  <c r="KX17" i="1"/>
  <c r="NO17" i="1" s="1"/>
  <c r="KX10" i="1"/>
  <c r="NO10" i="1" s="1"/>
  <c r="KX13" i="1"/>
  <c r="NO13" i="1" s="1"/>
  <c r="KX18" i="1"/>
  <c r="NO18" i="1" s="1"/>
  <c r="KX8" i="1"/>
  <c r="NO8" i="1" s="1"/>
  <c r="KX5" i="1"/>
  <c r="NO5" i="1" s="1"/>
  <c r="KX14" i="1"/>
  <c r="NO14" i="1" s="1"/>
  <c r="KX9" i="1"/>
  <c r="NO9" i="1" s="1"/>
  <c r="KX16" i="1"/>
  <c r="NO16" i="1" s="1"/>
  <c r="KX7" i="1"/>
  <c r="NO7" i="1" s="1"/>
  <c r="KX23" i="1"/>
  <c r="NO23" i="1" s="1"/>
  <c r="KG26" i="1"/>
  <c r="MX26" i="1" s="1"/>
  <c r="KH26" i="1"/>
  <c r="MY26" i="1" s="1"/>
  <c r="KI26" i="1"/>
  <c r="MZ26" i="1" s="1"/>
  <c r="KJ26" i="1"/>
  <c r="NA26" i="1" s="1"/>
  <c r="KK26" i="1"/>
  <c r="NB26" i="1" s="1"/>
  <c r="KH12" i="1"/>
  <c r="MY12" i="1" s="1"/>
  <c r="KI12" i="1"/>
  <c r="MZ12" i="1" s="1"/>
  <c r="KJ12" i="1"/>
  <c r="NA12" i="1" s="1"/>
  <c r="KK12" i="1"/>
  <c r="NB12" i="1" s="1"/>
  <c r="MZ22" i="1"/>
  <c r="KK22" i="1"/>
  <c r="NB22" i="1" s="1"/>
  <c r="KG24" i="1"/>
  <c r="KH24" i="1"/>
  <c r="MY24" i="1" s="1"/>
  <c r="KI24" i="1"/>
  <c r="MZ24" i="1" s="1"/>
  <c r="KJ24" i="1"/>
  <c r="NA24" i="1" s="1"/>
  <c r="KK24" i="1"/>
  <c r="NB24" i="1" s="1"/>
  <c r="KG25" i="1"/>
  <c r="KH25" i="1"/>
  <c r="MY25" i="1" s="1"/>
  <c r="KI25" i="1"/>
  <c r="MZ25" i="1" s="1"/>
  <c r="KJ25" i="1"/>
  <c r="NA25" i="1" s="1"/>
  <c r="KK25" i="1"/>
  <c r="NB25" i="1" s="1"/>
  <c r="KG20" i="1"/>
  <c r="MX20" i="1" s="1"/>
  <c r="KH20" i="1"/>
  <c r="MY20" i="1" s="1"/>
  <c r="KI20" i="1"/>
  <c r="MZ20" i="1" s="1"/>
  <c r="KJ20" i="1"/>
  <c r="NA20" i="1" s="1"/>
  <c r="KK20" i="1"/>
  <c r="NB20" i="1" s="1"/>
  <c r="KG6" i="1"/>
  <c r="MX6" i="1" s="1"/>
  <c r="KH6" i="1"/>
  <c r="MY6" i="1" s="1"/>
  <c r="KI6" i="1"/>
  <c r="MZ6" i="1" s="1"/>
  <c r="KJ6" i="1"/>
  <c r="NA6" i="1" s="1"/>
  <c r="KK6" i="1"/>
  <c r="NB6" i="1" s="1"/>
  <c r="KG15" i="1"/>
  <c r="MX15" i="1" s="1"/>
  <c r="KH15" i="1"/>
  <c r="MY15" i="1" s="1"/>
  <c r="KI15" i="1"/>
  <c r="MZ15" i="1" s="1"/>
  <c r="KJ15" i="1"/>
  <c r="NA15" i="1" s="1"/>
  <c r="KK15" i="1"/>
  <c r="NB15" i="1" s="1"/>
  <c r="KG11" i="1"/>
  <c r="MX11" i="1" s="1"/>
  <c r="KH11" i="1"/>
  <c r="MY11" i="1" s="1"/>
  <c r="KI11" i="1"/>
  <c r="MZ11" i="1" s="1"/>
  <c r="KJ11" i="1"/>
  <c r="NA11" i="1" s="1"/>
  <c r="KK11" i="1"/>
  <c r="NB11" i="1" s="1"/>
  <c r="KG17" i="1"/>
  <c r="MX17" i="1" s="1"/>
  <c r="KH17" i="1"/>
  <c r="MY17" i="1" s="1"/>
  <c r="KI17" i="1"/>
  <c r="MZ17" i="1" s="1"/>
  <c r="KJ17" i="1"/>
  <c r="NA17" i="1" s="1"/>
  <c r="KK17" i="1"/>
  <c r="KG10" i="1"/>
  <c r="MX10" i="1" s="1"/>
  <c r="KH10" i="1"/>
  <c r="MY10" i="1" s="1"/>
  <c r="KI10" i="1"/>
  <c r="MZ10" i="1" s="1"/>
  <c r="KJ10" i="1"/>
  <c r="NA10" i="1" s="1"/>
  <c r="KK10" i="1"/>
  <c r="NB10" i="1" s="1"/>
  <c r="KG13" i="1"/>
  <c r="MX13" i="1" s="1"/>
  <c r="KH13" i="1"/>
  <c r="MY13" i="1" s="1"/>
  <c r="KI13" i="1"/>
  <c r="MZ13" i="1" s="1"/>
  <c r="KJ13" i="1"/>
  <c r="NA13" i="1" s="1"/>
  <c r="KK13" i="1"/>
  <c r="NB13" i="1" s="1"/>
  <c r="KG18" i="1"/>
  <c r="MX18" i="1" s="1"/>
  <c r="KH18" i="1"/>
  <c r="MY18" i="1" s="1"/>
  <c r="KI18" i="1"/>
  <c r="MZ18" i="1" s="1"/>
  <c r="KJ18" i="1"/>
  <c r="NA18" i="1" s="1"/>
  <c r="KK18" i="1"/>
  <c r="NB18" i="1" s="1"/>
  <c r="KG8" i="1"/>
  <c r="MX8" i="1" s="1"/>
  <c r="KH8" i="1"/>
  <c r="MY8" i="1" s="1"/>
  <c r="KI8" i="1"/>
  <c r="MZ8" i="1" s="1"/>
  <c r="KJ8" i="1"/>
  <c r="NA8" i="1" s="1"/>
  <c r="KK8" i="1"/>
  <c r="NB8" i="1" s="1"/>
  <c r="KG5" i="1"/>
  <c r="MX5" i="1" s="1"/>
  <c r="KH5" i="1"/>
  <c r="MY5" i="1" s="1"/>
  <c r="KI5" i="1"/>
  <c r="MZ5" i="1" s="1"/>
  <c r="KJ5" i="1"/>
  <c r="NA5" i="1" s="1"/>
  <c r="KK5" i="1"/>
  <c r="NB5" i="1" s="1"/>
  <c r="KG14" i="1"/>
  <c r="MX14" i="1" s="1"/>
  <c r="KH14" i="1"/>
  <c r="MY14" i="1" s="1"/>
  <c r="KI14" i="1"/>
  <c r="MZ14" i="1" s="1"/>
  <c r="KJ14" i="1"/>
  <c r="NA14" i="1" s="1"/>
  <c r="KK14" i="1"/>
  <c r="NB14" i="1" s="1"/>
  <c r="KG9" i="1"/>
  <c r="MX9" i="1" s="1"/>
  <c r="KH9" i="1"/>
  <c r="MY9" i="1" s="1"/>
  <c r="KI9" i="1"/>
  <c r="MZ9" i="1" s="1"/>
  <c r="KJ9" i="1"/>
  <c r="NA9" i="1" s="1"/>
  <c r="KK9" i="1"/>
  <c r="NB9" i="1" s="1"/>
  <c r="KG16" i="1"/>
  <c r="MX16" i="1" s="1"/>
  <c r="KH16" i="1"/>
  <c r="MY16" i="1" s="1"/>
  <c r="KI16" i="1"/>
  <c r="MZ16" i="1" s="1"/>
  <c r="KJ16" i="1"/>
  <c r="NA16" i="1" s="1"/>
  <c r="KK16" i="1"/>
  <c r="NB16" i="1" s="1"/>
  <c r="KG7" i="1"/>
  <c r="MX7" i="1" s="1"/>
  <c r="KH7" i="1"/>
  <c r="MY7" i="1" s="1"/>
  <c r="KI7" i="1"/>
  <c r="MZ7" i="1" s="1"/>
  <c r="KJ7" i="1"/>
  <c r="NA7" i="1" s="1"/>
  <c r="KK7" i="1"/>
  <c r="NB7" i="1" s="1"/>
  <c r="KH23" i="1"/>
  <c r="MY23" i="1" s="1"/>
  <c r="KI23" i="1"/>
  <c r="MZ23" i="1" s="1"/>
  <c r="KJ23" i="1"/>
  <c r="NA23" i="1" s="1"/>
  <c r="KK23" i="1"/>
  <c r="NB23" i="1" s="1"/>
  <c r="KG23" i="1"/>
  <c r="KA26" i="1"/>
  <c r="KB26" i="1"/>
  <c r="KN26" i="1" s="1"/>
  <c r="KC26" i="1"/>
  <c r="KP26" i="1" s="1"/>
  <c r="KE26" i="1"/>
  <c r="KB12" i="1"/>
  <c r="KN12" i="1" s="1"/>
  <c r="KC12" i="1"/>
  <c r="KD12" i="1"/>
  <c r="KE12" i="1"/>
  <c r="KE22" i="1"/>
  <c r="CN3" i="1"/>
  <c r="KB24" i="1"/>
  <c r="KN24" i="1" s="1"/>
  <c r="KC24" i="1"/>
  <c r="KD24" i="1"/>
  <c r="KE24" i="1"/>
  <c r="KA25" i="1"/>
  <c r="KB25" i="1"/>
  <c r="KC25" i="1"/>
  <c r="KP25" i="1" s="1"/>
  <c r="KD25" i="1"/>
  <c r="KE25" i="1"/>
  <c r="KA20" i="1"/>
  <c r="KB20" i="1"/>
  <c r="KN20" i="1" s="1"/>
  <c r="KC20" i="1"/>
  <c r="KP20" i="1" s="1"/>
  <c r="KD20" i="1"/>
  <c r="KE20" i="1"/>
  <c r="KA6" i="1"/>
  <c r="KB6" i="1"/>
  <c r="KN6" i="1" s="1"/>
  <c r="KC6" i="1"/>
  <c r="KP6" i="1" s="1"/>
  <c r="KD6" i="1"/>
  <c r="KE6" i="1"/>
  <c r="CQ3" i="1"/>
  <c r="KA15" i="1"/>
  <c r="KB15" i="1"/>
  <c r="KN15" i="1" s="1"/>
  <c r="KC15" i="1"/>
  <c r="KP15" i="1" s="1"/>
  <c r="KD15" i="1"/>
  <c r="KE15" i="1"/>
  <c r="KA11" i="1"/>
  <c r="KB11" i="1"/>
  <c r="KC11" i="1"/>
  <c r="KP11" i="1" s="1"/>
  <c r="KD11" i="1"/>
  <c r="KE11" i="1"/>
  <c r="KA17" i="1"/>
  <c r="KB17" i="1"/>
  <c r="KN17" i="1" s="1"/>
  <c r="KC17" i="1"/>
  <c r="KD17" i="1"/>
  <c r="KE17" i="1"/>
  <c r="KA10" i="1"/>
  <c r="KB10" i="1"/>
  <c r="KN10" i="1" s="1"/>
  <c r="KC10" i="1"/>
  <c r="KP10" i="1" s="1"/>
  <c r="KD10" i="1"/>
  <c r="KE10" i="1"/>
  <c r="KA13" i="1"/>
  <c r="KB13" i="1"/>
  <c r="KN13" i="1" s="1"/>
  <c r="KC13" i="1"/>
  <c r="KD13" i="1"/>
  <c r="KE13" i="1"/>
  <c r="KA18" i="1"/>
  <c r="KB18" i="1"/>
  <c r="KN18" i="1" s="1"/>
  <c r="KC18" i="1"/>
  <c r="KP18" i="1" s="1"/>
  <c r="KD18" i="1"/>
  <c r="KE18" i="1"/>
  <c r="KA8" i="1"/>
  <c r="KB8" i="1"/>
  <c r="KN8" i="1" s="1"/>
  <c r="KC8" i="1"/>
  <c r="KP8" i="1" s="1"/>
  <c r="KD8" i="1"/>
  <c r="KE8" i="1"/>
  <c r="KA5" i="1"/>
  <c r="KB5" i="1"/>
  <c r="KN5" i="1" s="1"/>
  <c r="KC5" i="1"/>
  <c r="KP5" i="1" s="1"/>
  <c r="KD5" i="1"/>
  <c r="KE5" i="1"/>
  <c r="KA14" i="1"/>
  <c r="KB14" i="1"/>
  <c r="KN14" i="1" s="1"/>
  <c r="KC14" i="1"/>
  <c r="KP14" i="1" s="1"/>
  <c r="KD14" i="1"/>
  <c r="KE14" i="1"/>
  <c r="KA9" i="1"/>
  <c r="KB9" i="1"/>
  <c r="KN9" i="1" s="1"/>
  <c r="KC9" i="1"/>
  <c r="KP9" i="1" s="1"/>
  <c r="KD9" i="1"/>
  <c r="KE9" i="1"/>
  <c r="KA16" i="1"/>
  <c r="KB16" i="1"/>
  <c r="KN16" i="1" s="1"/>
  <c r="KC16" i="1"/>
  <c r="KP16" i="1" s="1"/>
  <c r="KD16" i="1"/>
  <c r="KE16" i="1"/>
  <c r="KA7" i="1"/>
  <c r="KB7" i="1"/>
  <c r="KN7" i="1" s="1"/>
  <c r="KC7" i="1"/>
  <c r="KP7" i="1" s="1"/>
  <c r="KD7" i="1"/>
  <c r="KE7" i="1"/>
  <c r="KB23" i="1"/>
  <c r="KN23" i="1" s="1"/>
  <c r="KC23" i="1"/>
  <c r="KP23" i="1" s="1"/>
  <c r="KD23" i="1"/>
  <c r="KE23" i="1"/>
  <c r="HU20" i="1"/>
  <c r="HU6" i="1"/>
  <c r="HU11" i="1"/>
  <c r="HU10" i="1"/>
  <c r="HU13" i="1"/>
  <c r="HU14" i="1"/>
  <c r="HU9" i="1"/>
  <c r="HU16" i="1"/>
  <c r="HU7" i="1"/>
  <c r="HU26" i="1"/>
  <c r="HV11" i="1"/>
  <c r="HW11" i="1"/>
  <c r="IJ11" i="1" s="1"/>
  <c r="HX11" i="1"/>
  <c r="HY11" i="1"/>
  <c r="HW17" i="1"/>
  <c r="IJ17" i="1" s="1"/>
  <c r="HV10" i="1"/>
  <c r="HW10" i="1"/>
  <c r="IJ10" i="1" s="1"/>
  <c r="HX10" i="1"/>
  <c r="HY10" i="1"/>
  <c r="HV13" i="1"/>
  <c r="IH13" i="1" s="1"/>
  <c r="HW13" i="1"/>
  <c r="HX13" i="1"/>
  <c r="HY13" i="1"/>
  <c r="HW18" i="1"/>
  <c r="HW8" i="1"/>
  <c r="IJ8" i="1" s="1"/>
  <c r="HW5" i="1"/>
  <c r="HV14" i="1"/>
  <c r="IH14" i="1" s="1"/>
  <c r="HW14" i="1"/>
  <c r="HX14" i="1"/>
  <c r="HY14" i="1"/>
  <c r="HV9" i="1"/>
  <c r="HW9" i="1"/>
  <c r="HX9" i="1"/>
  <c r="HY9" i="1"/>
  <c r="HV16" i="1"/>
  <c r="HW16" i="1"/>
  <c r="IJ16" i="1" s="1"/>
  <c r="HX16" i="1"/>
  <c r="HY16" i="1"/>
  <c r="HV7" i="1"/>
  <c r="IH7" i="1" s="1"/>
  <c r="HW7" i="1"/>
  <c r="IJ7" i="1" s="1"/>
  <c r="HX7" i="1"/>
  <c r="HY7" i="1"/>
  <c r="HV20" i="1"/>
  <c r="HW20" i="1"/>
  <c r="IJ20" i="1" s="1"/>
  <c r="HX20" i="1"/>
  <c r="HY20" i="1"/>
  <c r="HV6" i="1"/>
  <c r="IH6" i="1" s="1"/>
  <c r="HW6" i="1"/>
  <c r="HX6" i="1"/>
  <c r="HY6" i="1"/>
  <c r="HW15" i="1"/>
  <c r="HV24" i="1"/>
  <c r="HW24" i="1"/>
  <c r="IJ24" i="1" s="1"/>
  <c r="HX24" i="1"/>
  <c r="HY24" i="1"/>
  <c r="HV25" i="1"/>
  <c r="HW25" i="1"/>
  <c r="IJ25" i="1" s="1"/>
  <c r="HX25" i="1"/>
  <c r="HY25" i="1"/>
  <c r="HV26" i="1"/>
  <c r="IH26" i="1" s="1"/>
  <c r="HW26" i="1"/>
  <c r="HY26" i="1"/>
  <c r="HV12" i="1"/>
  <c r="IH12" i="1" s="1"/>
  <c r="HW12" i="1"/>
  <c r="HX12" i="1"/>
  <c r="HY12" i="1"/>
  <c r="HY22" i="1"/>
  <c r="HW23" i="1"/>
  <c r="IJ23" i="1" s="1"/>
  <c r="HX23" i="1"/>
  <c r="HY23" i="1"/>
  <c r="HV23" i="1"/>
  <c r="IH23" i="1" s="1"/>
  <c r="O7" i="1"/>
  <c r="O16" i="1"/>
  <c r="O9" i="1"/>
  <c r="O14" i="1"/>
  <c r="O5" i="1"/>
  <c r="O8" i="1"/>
  <c r="O18" i="1"/>
  <c r="O13" i="1"/>
  <c r="O10" i="1"/>
  <c r="O17" i="1"/>
  <c r="O11" i="1"/>
  <c r="O15" i="1"/>
  <c r="O20" i="1"/>
  <c r="O21" i="1" s="1"/>
  <c r="O25" i="1"/>
  <c r="KA12" i="1"/>
  <c r="O12" i="1"/>
  <c r="HS9" i="1"/>
  <c r="HS16" i="1"/>
  <c r="HS7" i="1"/>
  <c r="HS18" i="1"/>
  <c r="HS8" i="1"/>
  <c r="HS5" i="1"/>
  <c r="HS14" i="1"/>
  <c r="HS13" i="1"/>
  <c r="HS11" i="1"/>
  <c r="HS17" i="1"/>
  <c r="HS10" i="1"/>
  <c r="HS20" i="1"/>
  <c r="HS6" i="1"/>
  <c r="HS15" i="1"/>
  <c r="HS26" i="1"/>
  <c r="HS12" i="1"/>
  <c r="HS24" i="1"/>
  <c r="HS25" i="1"/>
  <c r="HS23" i="1"/>
  <c r="IX4" i="1"/>
  <c r="IW4" i="1"/>
  <c r="IV4" i="1"/>
  <c r="IU4" i="1"/>
  <c r="IT4" i="1"/>
  <c r="IS4" i="1"/>
  <c r="IA2" i="1"/>
  <c r="HZ2" i="1"/>
  <c r="LD4" i="1"/>
  <c r="LC4" i="1"/>
  <c r="LB4" i="1"/>
  <c r="LA4" i="1"/>
  <c r="KZ4" i="1"/>
  <c r="KY4" i="1"/>
  <c r="KG12" i="1"/>
  <c r="MX12" i="1" s="1"/>
  <c r="A106" i="10"/>
  <c r="GS7" i="1"/>
  <c r="KM7" i="1"/>
  <c r="AD25" i="1"/>
  <c r="BO19" i="1"/>
  <c r="AT19" i="1"/>
  <c r="BO27" i="1"/>
  <c r="AT27" i="1"/>
  <c r="GS9" i="1"/>
  <c r="GS16" i="1"/>
  <c r="GS25" i="1"/>
  <c r="GS24" i="1"/>
  <c r="HZ25" i="1"/>
  <c r="AH16" i="1"/>
  <c r="HR16" i="1" s="1"/>
  <c r="IM16" i="1"/>
  <c r="IN16" i="1" s="1"/>
  <c r="KM16" i="1"/>
  <c r="KM9" i="1"/>
  <c r="AC18" i="1"/>
  <c r="AD14" i="1"/>
  <c r="AD6" i="1"/>
  <c r="GS23" i="1"/>
  <c r="GS6" i="1"/>
  <c r="GS11" i="1"/>
  <c r="GS10" i="1"/>
  <c r="GS26" i="1"/>
  <c r="GS13" i="1"/>
  <c r="GS12" i="1"/>
  <c r="GU14" i="1"/>
  <c r="HN14" i="1" s="1"/>
  <c r="GS20" i="1"/>
  <c r="GS14" i="1"/>
  <c r="AJ6" i="1"/>
  <c r="R6" i="1" s="1"/>
  <c r="AJ15" i="1"/>
  <c r="AJ14" i="1"/>
  <c r="AK14" i="1" s="1"/>
  <c r="AM14" i="1" s="1"/>
  <c r="E103" i="10"/>
  <c r="E21" i="10" s="1"/>
  <c r="C21" i="10"/>
  <c r="C17" i="10"/>
  <c r="E17" i="10"/>
  <c r="O17" i="10"/>
  <c r="A88" i="10"/>
  <c r="E9" i="14"/>
  <c r="D9" i="14"/>
  <c r="D8" i="14"/>
  <c r="D6" i="14"/>
  <c r="E5" i="14"/>
  <c r="D5" i="14"/>
  <c r="D3" i="14"/>
  <c r="D2" i="14"/>
  <c r="L5" i="9"/>
  <c r="T5" i="9" s="1"/>
  <c r="F119" i="9"/>
  <c r="S119" i="9"/>
  <c r="G119" i="9"/>
  <c r="K119" i="9"/>
  <c r="I119" i="9"/>
  <c r="C119" i="9"/>
  <c r="J119" i="9"/>
  <c r="Q119" i="9"/>
  <c r="E119" i="9"/>
  <c r="P119" i="9"/>
  <c r="D119" i="9"/>
  <c r="B119" i="9"/>
  <c r="N119" i="9"/>
  <c r="H119" i="9"/>
  <c r="O119" i="9"/>
  <c r="R115" i="9"/>
  <c r="U110" i="9"/>
  <c r="T110" i="9"/>
  <c r="U108" i="9"/>
  <c r="T108" i="9"/>
  <c r="P105" i="9"/>
  <c r="P103" i="9"/>
  <c r="F102" i="9"/>
  <c r="F105" i="9" s="1"/>
  <c r="S102" i="9"/>
  <c r="G102" i="9"/>
  <c r="G103" i="9" s="1"/>
  <c r="K102" i="9"/>
  <c r="K105" i="9" s="1"/>
  <c r="I102" i="9"/>
  <c r="I103" i="9" s="1"/>
  <c r="C102" i="9"/>
  <c r="J102" i="9"/>
  <c r="J103" i="9" s="1"/>
  <c r="Q102" i="9"/>
  <c r="Q103" i="9" s="1"/>
  <c r="E102" i="9"/>
  <c r="E103" i="9" s="1"/>
  <c r="D102" i="9"/>
  <c r="D105" i="9"/>
  <c r="B102" i="9"/>
  <c r="B103" i="9" s="1"/>
  <c r="N102" i="9"/>
  <c r="N105" i="9" s="1"/>
  <c r="H102" i="9"/>
  <c r="H105" i="9" s="1"/>
  <c r="O102" i="9"/>
  <c r="U101" i="9"/>
  <c r="T101" i="9"/>
  <c r="U100" i="9"/>
  <c r="T100" i="9"/>
  <c r="U99" i="9"/>
  <c r="T99" i="9"/>
  <c r="U98" i="9"/>
  <c r="T98" i="9"/>
  <c r="U97" i="9"/>
  <c r="T97" i="9"/>
  <c r="P93" i="9"/>
  <c r="P91" i="9"/>
  <c r="F90" i="9"/>
  <c r="F91" i="9" s="1"/>
  <c r="S90" i="9"/>
  <c r="S93" i="9" s="1"/>
  <c r="G90" i="9"/>
  <c r="K90" i="9"/>
  <c r="K91" i="9" s="1"/>
  <c r="I90" i="9"/>
  <c r="I93" i="9" s="1"/>
  <c r="C90" i="9"/>
  <c r="C93" i="9" s="1"/>
  <c r="J90" i="9"/>
  <c r="J93" i="9" s="1"/>
  <c r="Q90" i="9"/>
  <c r="Q91" i="9" s="1"/>
  <c r="E90" i="9"/>
  <c r="D90" i="9"/>
  <c r="D91" i="9" s="1"/>
  <c r="B90" i="9"/>
  <c r="N90" i="9"/>
  <c r="N91" i="9" s="1"/>
  <c r="H90" i="9"/>
  <c r="H93" i="9" s="1"/>
  <c r="O90" i="9"/>
  <c r="O91" i="9" s="1"/>
  <c r="U89" i="9"/>
  <c r="T89" i="9"/>
  <c r="U88" i="9"/>
  <c r="T88" i="9"/>
  <c r="U87" i="9"/>
  <c r="T87" i="9"/>
  <c r="U86" i="9"/>
  <c r="T86" i="9"/>
  <c r="U85" i="9"/>
  <c r="T85" i="9"/>
  <c r="U84" i="9"/>
  <c r="T84" i="9"/>
  <c r="P80" i="9"/>
  <c r="P78" i="9"/>
  <c r="F77" i="9"/>
  <c r="F80" i="9" s="1"/>
  <c r="S77" i="9"/>
  <c r="G77" i="9"/>
  <c r="G78" i="9" s="1"/>
  <c r="K77" i="9"/>
  <c r="K78" i="9" s="1"/>
  <c r="I77" i="9"/>
  <c r="I80" i="9" s="1"/>
  <c r="C77" i="9"/>
  <c r="J77" i="9"/>
  <c r="J78" i="9" s="1"/>
  <c r="Q77" i="9"/>
  <c r="Q80" i="9" s="1"/>
  <c r="E77" i="9"/>
  <c r="E80" i="9" s="1"/>
  <c r="D77" i="9"/>
  <c r="B77" i="9"/>
  <c r="B78" i="9" s="1"/>
  <c r="N77" i="9"/>
  <c r="H77" i="9"/>
  <c r="H80" i="9" s="1"/>
  <c r="O77" i="9"/>
  <c r="O78" i="9" s="1"/>
  <c r="U76" i="9"/>
  <c r="T76" i="9"/>
  <c r="U74" i="9"/>
  <c r="T74" i="9"/>
  <c r="U73" i="9"/>
  <c r="T73" i="9"/>
  <c r="U72" i="9"/>
  <c r="T72" i="9"/>
  <c r="U71" i="9"/>
  <c r="T71" i="9"/>
  <c r="U70" i="9"/>
  <c r="T70" i="9"/>
  <c r="U69" i="9"/>
  <c r="T69" i="9"/>
  <c r="U68" i="9"/>
  <c r="T68" i="9"/>
  <c r="U67" i="9"/>
  <c r="T67" i="9"/>
  <c r="U66" i="9"/>
  <c r="T66" i="9"/>
  <c r="F59" i="9"/>
  <c r="F60" i="9" s="1"/>
  <c r="S59" i="9"/>
  <c r="G59" i="9"/>
  <c r="G60" i="9" s="1"/>
  <c r="K59" i="9"/>
  <c r="I59" i="9"/>
  <c r="I62" i="9" s="1"/>
  <c r="C59" i="9"/>
  <c r="J59" i="9"/>
  <c r="J62" i="9" s="1"/>
  <c r="Q59" i="9"/>
  <c r="Q60" i="9" s="1"/>
  <c r="E59" i="9"/>
  <c r="E60" i="9" s="1"/>
  <c r="P59" i="9"/>
  <c r="P62" i="9" s="1"/>
  <c r="D59" i="9"/>
  <c r="D60" i="9" s="1"/>
  <c r="B59" i="9"/>
  <c r="B62" i="9" s="1"/>
  <c r="N59" i="9"/>
  <c r="N60" i="9" s="1"/>
  <c r="H59" i="9"/>
  <c r="H60" i="9" s="1"/>
  <c r="O59" i="9"/>
  <c r="U58" i="9"/>
  <c r="T58" i="9"/>
  <c r="U57" i="9"/>
  <c r="T57" i="9"/>
  <c r="U56" i="9"/>
  <c r="T56" i="9"/>
  <c r="U55" i="9"/>
  <c r="T55" i="9"/>
  <c r="U54" i="9"/>
  <c r="T54" i="9"/>
  <c r="U53" i="9"/>
  <c r="T53" i="9"/>
  <c r="U52" i="9"/>
  <c r="T52" i="9"/>
  <c r="U51" i="9"/>
  <c r="T51" i="9"/>
  <c r="U50" i="9"/>
  <c r="T50" i="9"/>
  <c r="U49" i="9"/>
  <c r="T49" i="9"/>
  <c r="U48" i="9"/>
  <c r="T48" i="9"/>
  <c r="U47" i="9"/>
  <c r="T47" i="9"/>
  <c r="U46" i="9"/>
  <c r="T46" i="9"/>
  <c r="U45" i="9"/>
  <c r="T45" i="9"/>
  <c r="U44" i="9"/>
  <c r="T44" i="9"/>
  <c r="U43" i="9"/>
  <c r="T43" i="9"/>
  <c r="U42" i="9"/>
  <c r="T42" i="9"/>
  <c r="U41" i="9"/>
  <c r="T41" i="9"/>
  <c r="U40" i="9"/>
  <c r="T40" i="9"/>
  <c r="U39" i="9"/>
  <c r="T39" i="9"/>
  <c r="P35" i="9"/>
  <c r="P33" i="9"/>
  <c r="F32" i="9"/>
  <c r="S32" i="9"/>
  <c r="S33" i="9" s="1"/>
  <c r="G32" i="9"/>
  <c r="G33" i="9" s="1"/>
  <c r="K32" i="9"/>
  <c r="K33" i="9" s="1"/>
  <c r="I32" i="9"/>
  <c r="I35" i="9" s="1"/>
  <c r="C32" i="9"/>
  <c r="C35" i="9" s="1"/>
  <c r="J32" i="9"/>
  <c r="J33" i="9" s="1"/>
  <c r="Q32" i="9"/>
  <c r="Q35" i="9" s="1"/>
  <c r="E32" i="9"/>
  <c r="E35" i="9" s="1"/>
  <c r="D32" i="9"/>
  <c r="D35" i="9" s="1"/>
  <c r="B32" i="9"/>
  <c r="B33" i="9" s="1"/>
  <c r="N32" i="9"/>
  <c r="N33" i="9" s="1"/>
  <c r="H32" i="9"/>
  <c r="H33" i="9" s="1"/>
  <c r="O32" i="9"/>
  <c r="O35" i="9" s="1"/>
  <c r="U31" i="9"/>
  <c r="T31" i="9"/>
  <c r="U30" i="9"/>
  <c r="T30" i="9"/>
  <c r="U29" i="9"/>
  <c r="T29" i="9"/>
  <c r="U28" i="9"/>
  <c r="T28" i="9"/>
  <c r="U27" i="9"/>
  <c r="T27" i="9"/>
  <c r="F23" i="9"/>
  <c r="S23" i="9"/>
  <c r="G23" i="9"/>
  <c r="K23" i="9"/>
  <c r="I23" i="9"/>
  <c r="C23" i="9"/>
  <c r="J23" i="9"/>
  <c r="Q23" i="9"/>
  <c r="E23" i="9"/>
  <c r="P23" i="9"/>
  <c r="D23" i="9"/>
  <c r="B23" i="9"/>
  <c r="N23" i="9"/>
  <c r="H23" i="9"/>
  <c r="O23" i="9"/>
  <c r="F21" i="9"/>
  <c r="S21" i="9"/>
  <c r="G21" i="9"/>
  <c r="K21" i="9"/>
  <c r="I21" i="9"/>
  <c r="C21" i="9"/>
  <c r="J21" i="9"/>
  <c r="Q21" i="9"/>
  <c r="E21" i="9"/>
  <c r="P21" i="9"/>
  <c r="D21" i="9"/>
  <c r="B21" i="9"/>
  <c r="N21" i="9"/>
  <c r="H21" i="9"/>
  <c r="O21" i="9"/>
  <c r="U20" i="9"/>
  <c r="T20" i="9"/>
  <c r="P17" i="9"/>
  <c r="P15" i="9"/>
  <c r="S14" i="9"/>
  <c r="S17" i="9" s="1"/>
  <c r="G14" i="9"/>
  <c r="G15" i="9" s="1"/>
  <c r="K14" i="9"/>
  <c r="K17" i="9" s="1"/>
  <c r="I14" i="9"/>
  <c r="C14" i="9"/>
  <c r="C15" i="9" s="1"/>
  <c r="J14" i="9"/>
  <c r="Q14" i="9"/>
  <c r="E14" i="9"/>
  <c r="E15" i="9" s="1"/>
  <c r="D14" i="9"/>
  <c r="D17" i="9" s="1"/>
  <c r="B14" i="9"/>
  <c r="B15" i="9" s="1"/>
  <c r="N14" i="9"/>
  <c r="N15" i="9" s="1"/>
  <c r="H14" i="9"/>
  <c r="H15" i="9" s="1"/>
  <c r="O14" i="9"/>
  <c r="O17" i="9" s="1"/>
  <c r="U12" i="9"/>
  <c r="T12" i="9"/>
  <c r="U6" i="9"/>
  <c r="T6" i="9"/>
  <c r="U4" i="9"/>
  <c r="T4" i="9"/>
  <c r="I78" i="9"/>
  <c r="J60" i="9"/>
  <c r="O93" i="9"/>
  <c r="E91" i="9"/>
  <c r="O62" i="9"/>
  <c r="C33" i="9"/>
  <c r="D62" i="9"/>
  <c r="O103" i="9"/>
  <c r="E93" i="9"/>
  <c r="F93" i="9"/>
  <c r="N103" i="9"/>
  <c r="O105" i="9"/>
  <c r="H78" i="9"/>
  <c r="AH12" i="1"/>
  <c r="HR12" i="1" s="1"/>
  <c r="AH6" i="1"/>
  <c r="HR6" i="1" s="1"/>
  <c r="AL11" i="1"/>
  <c r="R11" i="1"/>
  <c r="AL22" i="1"/>
  <c r="R22" i="1"/>
  <c r="AL12" i="1"/>
  <c r="R12" i="1"/>
  <c r="IM12" i="1"/>
  <c r="IN12" i="1" s="1"/>
  <c r="F78" i="9"/>
  <c r="G17" i="9"/>
  <c r="S35" i="9"/>
  <c r="S103" i="9"/>
  <c r="H91" i="9"/>
  <c r="D15" i="9"/>
  <c r="K80" i="9"/>
  <c r="K15" i="9"/>
  <c r="H62" i="9"/>
  <c r="D103" i="9"/>
  <c r="O33" i="9"/>
  <c r="D33" i="9"/>
  <c r="J35" i="9"/>
  <c r="E78" i="9"/>
  <c r="S60" i="9"/>
  <c r="S62" i="9"/>
  <c r="Q105" i="9"/>
  <c r="E17" i="9"/>
  <c r="C62" i="9"/>
  <c r="C60" i="9"/>
  <c r="I17" i="9"/>
  <c r="I15" i="9"/>
  <c r="O60" i="9"/>
  <c r="Q78" i="9"/>
  <c r="N78" i="9"/>
  <c r="I33" i="9"/>
  <c r="B17" i="9"/>
  <c r="N80" i="9"/>
  <c r="Q93" i="9"/>
  <c r="O15" i="9"/>
  <c r="KM14" i="1"/>
  <c r="KM5" i="1"/>
  <c r="KM8" i="1"/>
  <c r="KM17" i="1"/>
  <c r="KM10" i="1"/>
  <c r="KM18" i="1"/>
  <c r="KM11" i="1"/>
  <c r="KM13" i="1"/>
  <c r="HZ23" i="1"/>
  <c r="O75" i="10" l="1"/>
  <c r="C97" i="10"/>
  <c r="E97" i="10" s="1"/>
  <c r="E34" i="10" s="1"/>
  <c r="FG6" i="1"/>
  <c r="EU6" i="1" s="1"/>
  <c r="EP6" i="1"/>
  <c r="FE6" i="1"/>
  <c r="FD6" i="1"/>
  <c r="ET6" i="1" s="1"/>
  <c r="FB6" i="1"/>
  <c r="EI6" i="1"/>
  <c r="EJ6" i="1"/>
  <c r="FE8" i="1"/>
  <c r="FG8" i="1"/>
  <c r="EU8" i="1" s="1"/>
  <c r="FB8" i="1"/>
  <c r="FD8" i="1" s="1"/>
  <c r="EI8" i="1"/>
  <c r="E10" i="73" s="1"/>
  <c r="FE16" i="1"/>
  <c r="FD16" i="1"/>
  <c r="ET16" i="1" s="1"/>
  <c r="EI16" i="1"/>
  <c r="FB16" i="1"/>
  <c r="FG16" i="1"/>
  <c r="EU16" i="1" s="1"/>
  <c r="EP16" i="1"/>
  <c r="FB10" i="1"/>
  <c r="FE10" i="1"/>
  <c r="EI10" i="1"/>
  <c r="FG10" i="1"/>
  <c r="EU10" i="1" s="1"/>
  <c r="FD10" i="1"/>
  <c r="AL20" i="1"/>
  <c r="AL21" i="1" s="1"/>
  <c r="EI24" i="1"/>
  <c r="FG24" i="1"/>
  <c r="EU24" i="1" s="1"/>
  <c r="EP24" i="1"/>
  <c r="FE24" i="1"/>
  <c r="FD24" i="1"/>
  <c r="FB24" i="1"/>
  <c r="EC27" i="1"/>
  <c r="EF22" i="1"/>
  <c r="EI17" i="1"/>
  <c r="E12" i="73" s="1"/>
  <c r="FG17" i="1"/>
  <c r="EU17" i="1" s="1"/>
  <c r="FE17" i="1"/>
  <c r="FD17" i="1"/>
  <c r="FB17" i="1"/>
  <c r="EF5" i="1"/>
  <c r="EI12" i="1"/>
  <c r="FG12" i="1"/>
  <c r="EU12" i="1" s="1"/>
  <c r="EP12" i="1"/>
  <c r="FE12" i="1"/>
  <c r="FD12" i="1"/>
  <c r="FB12" i="1"/>
  <c r="EI9" i="1"/>
  <c r="EJ9" i="1" s="1"/>
  <c r="FG9" i="1"/>
  <c r="EU9" i="1" s="1"/>
  <c r="EP9" i="1"/>
  <c r="FE9" i="1"/>
  <c r="FD9" i="1"/>
  <c r="FB9" i="1"/>
  <c r="FE26" i="1"/>
  <c r="FD26" i="1"/>
  <c r="EI26" i="1"/>
  <c r="FB26" i="1"/>
  <c r="FG26" i="1"/>
  <c r="EU26" i="1" s="1"/>
  <c r="EP26" i="1"/>
  <c r="FD18" i="1"/>
  <c r="FB18" i="1"/>
  <c r="EI18" i="1"/>
  <c r="E13" i="73" s="1"/>
  <c r="FG18" i="1"/>
  <c r="EU18" i="1" s="1"/>
  <c r="FE18" i="1"/>
  <c r="FD13" i="1"/>
  <c r="FB13" i="1"/>
  <c r="EJ13" i="1"/>
  <c r="EI13" i="1"/>
  <c r="FG13" i="1"/>
  <c r="EU13" i="1" s="1"/>
  <c r="EP13" i="1"/>
  <c r="FE13" i="1"/>
  <c r="FE11" i="1"/>
  <c r="FD11" i="1"/>
  <c r="EI11" i="1"/>
  <c r="FB11" i="1"/>
  <c r="FG11" i="1"/>
  <c r="EU11" i="1" s="1"/>
  <c r="FE23" i="1"/>
  <c r="FB23" i="1"/>
  <c r="FG23" i="1" s="1"/>
  <c r="EU23" i="1" s="1"/>
  <c r="EI23" i="1"/>
  <c r="EP23" i="1"/>
  <c r="IM17" i="1"/>
  <c r="IN17" i="1" s="1"/>
  <c r="AO20" i="1"/>
  <c r="AO21" i="1" s="1"/>
  <c r="K14" i="73"/>
  <c r="O14" i="73" s="1"/>
  <c r="K26" i="49"/>
  <c r="K33" i="73"/>
  <c r="K31" i="69"/>
  <c r="K33" i="49"/>
  <c r="O33" i="49" s="1"/>
  <c r="AQ34" i="73"/>
  <c r="I35" i="73"/>
  <c r="I37" i="73" s="1"/>
  <c r="K28" i="73"/>
  <c r="K31" i="49"/>
  <c r="C37" i="73"/>
  <c r="K29" i="73"/>
  <c r="K32" i="49"/>
  <c r="AH10" i="1"/>
  <c r="HR10" i="1" s="1"/>
  <c r="K18" i="73"/>
  <c r="K34" i="73"/>
  <c r="O34" i="73" s="1"/>
  <c r="K32" i="69"/>
  <c r="K34" i="49"/>
  <c r="GQ8" i="1"/>
  <c r="GQ16" i="1"/>
  <c r="GQ6" i="1"/>
  <c r="GQ15" i="1"/>
  <c r="GQ17" i="1"/>
  <c r="GQ5" i="1"/>
  <c r="GQ10" i="1"/>
  <c r="GT10" i="1" s="1"/>
  <c r="GU10" i="1" s="1"/>
  <c r="HN10" i="1" s="1"/>
  <c r="NJ5" i="1"/>
  <c r="NK5" i="1" s="1"/>
  <c r="GQ9" i="1"/>
  <c r="GQ24" i="1"/>
  <c r="GQ22" i="1"/>
  <c r="GQ14" i="1"/>
  <c r="GQ18" i="1"/>
  <c r="NJ8" i="1"/>
  <c r="NK8" i="1" s="1"/>
  <c r="GQ13" i="1"/>
  <c r="GQ11" i="1"/>
  <c r="GQ12" i="1"/>
  <c r="GT12" i="1" s="1"/>
  <c r="GU12" i="1" s="1"/>
  <c r="GQ26" i="1"/>
  <c r="AP16" i="1"/>
  <c r="I34" i="72"/>
  <c r="AQ34" i="72" s="1"/>
  <c r="MH26" i="1"/>
  <c r="AO16" i="1"/>
  <c r="AL15" i="1"/>
  <c r="IM20" i="1"/>
  <c r="IN20" i="1" s="1"/>
  <c r="AH20" i="1"/>
  <c r="HR20" i="1" s="1"/>
  <c r="IM10" i="1"/>
  <c r="IN10" i="1" s="1"/>
  <c r="AO10" i="1"/>
  <c r="DU7" i="1"/>
  <c r="GG7" i="1" s="1"/>
  <c r="DU16" i="1"/>
  <c r="GG16" i="1" s="1"/>
  <c r="DU9" i="1"/>
  <c r="GG9" i="1" s="1"/>
  <c r="DU5" i="1"/>
  <c r="GG5" i="1" s="1"/>
  <c r="DU8" i="1"/>
  <c r="GG8" i="1" s="1"/>
  <c r="DU18" i="1"/>
  <c r="GG18" i="1" s="1"/>
  <c r="DU13" i="1"/>
  <c r="GG13" i="1" s="1"/>
  <c r="DU10" i="1"/>
  <c r="GG10" i="1" s="1"/>
  <c r="DU17" i="1"/>
  <c r="GG17" i="1" s="1"/>
  <c r="DU11" i="1"/>
  <c r="GG11" i="1" s="1"/>
  <c r="DU15" i="1"/>
  <c r="GG15" i="1" s="1"/>
  <c r="DU6" i="1"/>
  <c r="GG6" i="1" s="1"/>
  <c r="DU25" i="1"/>
  <c r="GG25" i="1" s="1"/>
  <c r="DU24" i="1"/>
  <c r="GG24" i="1" s="1"/>
  <c r="DU20" i="1"/>
  <c r="GG20" i="1" s="1"/>
  <c r="DU23" i="1"/>
  <c r="GG23" i="1" s="1"/>
  <c r="DU22" i="1"/>
  <c r="GG22" i="1" s="1"/>
  <c r="DU14" i="1"/>
  <c r="GG14" i="1" s="1"/>
  <c r="CU5" i="1"/>
  <c r="CX5" i="1" s="1"/>
  <c r="CU12" i="1"/>
  <c r="CX12" i="1" s="1"/>
  <c r="CY12" i="1" s="1"/>
  <c r="CU16" i="1"/>
  <c r="CX16" i="1" s="1"/>
  <c r="CY16" i="1" s="1"/>
  <c r="CU18" i="1"/>
  <c r="CX18" i="1" s="1"/>
  <c r="CY18" i="1" s="1"/>
  <c r="DY18" i="1" s="1"/>
  <c r="CU14" i="1"/>
  <c r="CX14" i="1" s="1"/>
  <c r="CU10" i="1"/>
  <c r="CX10" i="1" s="1"/>
  <c r="CY10" i="1" s="1"/>
  <c r="IH24" i="1"/>
  <c r="DU12" i="1"/>
  <c r="GG12" i="1" s="1"/>
  <c r="CU6" i="1"/>
  <c r="CX6" i="1" s="1"/>
  <c r="CY6" i="1" s="1"/>
  <c r="CU9" i="1"/>
  <c r="CX9" i="1" s="1"/>
  <c r="CY9" i="1" s="1"/>
  <c r="CU15" i="1"/>
  <c r="CX15" i="1" s="1"/>
  <c r="CU13" i="1"/>
  <c r="CX13" i="1" s="1"/>
  <c r="CY13" i="1" s="1"/>
  <c r="CU11" i="1"/>
  <c r="CX11" i="1" s="1"/>
  <c r="CY11" i="1" s="1"/>
  <c r="DY11" i="1" s="1"/>
  <c r="AL8" i="1"/>
  <c r="CU8" i="1"/>
  <c r="CX8" i="1" s="1"/>
  <c r="CY8" i="1" s="1"/>
  <c r="DY8" i="1" s="1"/>
  <c r="CU24" i="1"/>
  <c r="CX24" i="1" s="1"/>
  <c r="CY24" i="1" s="1"/>
  <c r="CU22" i="1"/>
  <c r="CU26" i="1"/>
  <c r="CX26" i="1" s="1"/>
  <c r="CY26" i="1" s="1"/>
  <c r="CU17" i="1"/>
  <c r="CX17" i="1" s="1"/>
  <c r="CY17" i="1" s="1"/>
  <c r="DY17" i="1" s="1"/>
  <c r="R8" i="1"/>
  <c r="AL16" i="1"/>
  <c r="BP18" i="1"/>
  <c r="BS18" i="1" s="1"/>
  <c r="BT18" i="1" s="1"/>
  <c r="BP13" i="1"/>
  <c r="BS13" i="1" s="1"/>
  <c r="BT13" i="1" s="1"/>
  <c r="K33" i="72"/>
  <c r="K11" i="72"/>
  <c r="O11" i="72" s="1"/>
  <c r="K29" i="72"/>
  <c r="BP12" i="1"/>
  <c r="BS12" i="1" s="1"/>
  <c r="BT12" i="1" s="1"/>
  <c r="BP16" i="1"/>
  <c r="BS16" i="1" s="1"/>
  <c r="BT16" i="1" s="1"/>
  <c r="BP15" i="1"/>
  <c r="BS15" i="1" s="1"/>
  <c r="BP8" i="1"/>
  <c r="BS8" i="1" s="1"/>
  <c r="BT8" i="1" s="1"/>
  <c r="BP14" i="1"/>
  <c r="BS14" i="1" s="1"/>
  <c r="K9" i="72"/>
  <c r="O9" i="72" s="1"/>
  <c r="K28" i="72"/>
  <c r="BP10" i="1"/>
  <c r="BS10" i="1" s="1"/>
  <c r="BT10" i="1" s="1"/>
  <c r="K16" i="72"/>
  <c r="O16" i="72" s="1"/>
  <c r="K14" i="72"/>
  <c r="O14" i="72" s="1"/>
  <c r="BP9" i="1"/>
  <c r="BS9" i="1" s="1"/>
  <c r="BT9" i="1" s="1"/>
  <c r="K10" i="72"/>
  <c r="O10" i="72" s="1"/>
  <c r="K12" i="72"/>
  <c r="O12" i="72" s="1"/>
  <c r="K34" i="72"/>
  <c r="O34" i="72" s="1"/>
  <c r="BN6" i="1"/>
  <c r="BP6" i="1" s="1"/>
  <c r="BS6" i="1" s="1"/>
  <c r="BT6" i="1" s="1"/>
  <c r="F62" i="9"/>
  <c r="K93" i="9"/>
  <c r="B80" i="9"/>
  <c r="C91" i="9"/>
  <c r="E62" i="9"/>
  <c r="G80" i="9"/>
  <c r="C11" i="69"/>
  <c r="C21" i="72"/>
  <c r="C30" i="72" s="1"/>
  <c r="K13" i="69"/>
  <c r="K22" i="72"/>
  <c r="K10" i="69"/>
  <c r="K20" i="72"/>
  <c r="I60" i="9"/>
  <c r="K112" i="9"/>
  <c r="K123" i="9" s="1"/>
  <c r="K103" i="9"/>
  <c r="H103" i="9"/>
  <c r="G105" i="9"/>
  <c r="Q112" i="9"/>
  <c r="Q123" i="9" s="1"/>
  <c r="B105" i="9"/>
  <c r="K18" i="69"/>
  <c r="K25" i="72"/>
  <c r="C19" i="69"/>
  <c r="C13" i="72"/>
  <c r="C17" i="72" s="1"/>
  <c r="K17" i="69"/>
  <c r="K24" i="72"/>
  <c r="R16" i="1"/>
  <c r="C9" i="18"/>
  <c r="C10" i="18" s="1"/>
  <c r="K20" i="69"/>
  <c r="K26" i="72"/>
  <c r="K16" i="69"/>
  <c r="K23" i="72"/>
  <c r="J80" i="9"/>
  <c r="N35" i="9"/>
  <c r="F103" i="9"/>
  <c r="E112" i="9"/>
  <c r="E117" i="9" s="1"/>
  <c r="G35" i="9"/>
  <c r="B60" i="9"/>
  <c r="N62" i="9"/>
  <c r="I112" i="9"/>
  <c r="E105" i="9"/>
  <c r="E33" i="9"/>
  <c r="N17" i="9"/>
  <c r="D93" i="9"/>
  <c r="CE17" i="1"/>
  <c r="W21" i="49" s="1"/>
  <c r="CE15" i="1"/>
  <c r="W19" i="49" s="1"/>
  <c r="CE10" i="1"/>
  <c r="W14" i="49" s="1"/>
  <c r="CE13" i="1"/>
  <c r="W17" i="49" s="1"/>
  <c r="CE12" i="1"/>
  <c r="W16" i="49" s="1"/>
  <c r="CE6" i="1"/>
  <c r="W10" i="49" s="1"/>
  <c r="CE11" i="1"/>
  <c r="W15" i="49" s="1"/>
  <c r="GA26" i="1"/>
  <c r="Q33" i="9"/>
  <c r="GA25" i="1"/>
  <c r="GA23" i="1"/>
  <c r="GA24" i="1"/>
  <c r="AP10" i="1"/>
  <c r="HD9" i="1"/>
  <c r="Y13" i="69" s="1"/>
  <c r="HD24" i="1"/>
  <c r="Y26" i="69" s="1"/>
  <c r="HD16" i="1"/>
  <c r="Y20" i="69" s="1"/>
  <c r="HD22" i="1"/>
  <c r="Y24" i="69" s="1"/>
  <c r="HD8" i="1"/>
  <c r="Y12" i="69" s="1"/>
  <c r="U103" i="9"/>
  <c r="CE9" i="1"/>
  <c r="W13" i="49" s="1"/>
  <c r="CE8" i="1"/>
  <c r="W12" i="49" s="1"/>
  <c r="CE16" i="1"/>
  <c r="W20" i="49" s="1"/>
  <c r="Q62" i="9"/>
  <c r="HD17" i="1"/>
  <c r="Y21" i="69" s="1"/>
  <c r="HD23" i="1"/>
  <c r="Y25" i="69" s="1"/>
  <c r="HD15" i="1"/>
  <c r="Y19" i="69" s="1"/>
  <c r="HD11" i="1"/>
  <c r="Y15" i="69" s="1"/>
  <c r="HD6" i="1"/>
  <c r="HD10" i="1"/>
  <c r="Y14" i="69" s="1"/>
  <c r="HD13" i="1"/>
  <c r="Y17" i="69" s="1"/>
  <c r="HD20" i="1"/>
  <c r="Y23" i="69" s="1"/>
  <c r="HD12" i="1"/>
  <c r="Y16" i="69" s="1"/>
  <c r="GA20" i="1"/>
  <c r="Q31" i="69"/>
  <c r="O31" i="69"/>
  <c r="NJ9" i="1"/>
  <c r="NK9" i="1" s="1"/>
  <c r="K12" i="69"/>
  <c r="I34" i="59"/>
  <c r="I32" i="69"/>
  <c r="AF32" i="69" s="1"/>
  <c r="NJ12" i="1"/>
  <c r="NK12" i="1" s="1"/>
  <c r="MX22" i="1"/>
  <c r="GZ21" i="1"/>
  <c r="NJ17" i="1"/>
  <c r="NK17" i="1" s="1"/>
  <c r="NJ6" i="1"/>
  <c r="NK6" i="1" s="1"/>
  <c r="K15" i="69"/>
  <c r="MX23" i="1"/>
  <c r="MX24" i="1"/>
  <c r="NJ10" i="1"/>
  <c r="NK10" i="1" s="1"/>
  <c r="K21" i="69"/>
  <c r="K9" i="69"/>
  <c r="K14" i="69"/>
  <c r="E115" i="9"/>
  <c r="I122" i="9"/>
  <c r="Q122" i="9"/>
  <c r="S15" i="9"/>
  <c r="I113" i="9"/>
  <c r="Q15" i="9"/>
  <c r="I91" i="9"/>
  <c r="H35" i="9"/>
  <c r="K35" i="9"/>
  <c r="N93" i="9"/>
  <c r="J105" i="9"/>
  <c r="E122" i="9"/>
  <c r="U5" i="9"/>
  <c r="P112" i="9"/>
  <c r="P117" i="9" s="1"/>
  <c r="L32" i="9"/>
  <c r="M32" i="9" s="1"/>
  <c r="E123" i="9"/>
  <c r="H112" i="9"/>
  <c r="I123" i="9"/>
  <c r="E113" i="9"/>
  <c r="Q113" i="9"/>
  <c r="O112" i="9"/>
  <c r="O113" i="9" s="1"/>
  <c r="H17" i="9"/>
  <c r="I105" i="9"/>
  <c r="K115" i="9"/>
  <c r="K122" i="9"/>
  <c r="N112" i="9"/>
  <c r="O80" i="9"/>
  <c r="G62" i="9"/>
  <c r="U23" i="9"/>
  <c r="S112" i="9"/>
  <c r="S122" i="9" s="1"/>
  <c r="T90" i="9"/>
  <c r="T119" i="9"/>
  <c r="HX26" i="1"/>
  <c r="S117" i="9"/>
  <c r="S123" i="9"/>
  <c r="S113" i="9"/>
  <c r="S115" i="9"/>
  <c r="D80" i="9"/>
  <c r="D112" i="9"/>
  <c r="T21" i="9"/>
  <c r="U21" i="9"/>
  <c r="O117" i="9"/>
  <c r="Q115" i="9"/>
  <c r="Q117" i="9"/>
  <c r="K62" i="9"/>
  <c r="K60" i="9"/>
  <c r="T59" i="9"/>
  <c r="U59" i="9"/>
  <c r="J91" i="9"/>
  <c r="J112" i="9"/>
  <c r="C80" i="9"/>
  <c r="C78" i="9"/>
  <c r="B91" i="9"/>
  <c r="B93" i="9"/>
  <c r="B112" i="9"/>
  <c r="C105" i="9"/>
  <c r="C112" i="9"/>
  <c r="C103" i="9"/>
  <c r="J15" i="9"/>
  <c r="J17" i="9"/>
  <c r="D78" i="9"/>
  <c r="T103" i="9"/>
  <c r="F33" i="9"/>
  <c r="F35" i="9"/>
  <c r="K117" i="9"/>
  <c r="K113" i="9"/>
  <c r="S78" i="9"/>
  <c r="S80" i="9"/>
  <c r="U77" i="9"/>
  <c r="T77" i="9"/>
  <c r="G93" i="9"/>
  <c r="G112" i="9"/>
  <c r="U90" i="9"/>
  <c r="G91" i="9"/>
  <c r="S105" i="9"/>
  <c r="U102" i="9"/>
  <c r="T102" i="9"/>
  <c r="H117" i="9"/>
  <c r="C17" i="9"/>
  <c r="T23" i="9"/>
  <c r="S91" i="9"/>
  <c r="AP20" i="1"/>
  <c r="AP21" i="1" s="1"/>
  <c r="DO10" i="1"/>
  <c r="DO17" i="1"/>
  <c r="DO11" i="1"/>
  <c r="DO15" i="1"/>
  <c r="AO12" i="1"/>
  <c r="H122" i="9"/>
  <c r="B35" i="9"/>
  <c r="P60" i="9"/>
  <c r="Q17" i="9"/>
  <c r="CD25" i="1"/>
  <c r="CE25" i="1" s="1"/>
  <c r="IM25" i="1"/>
  <c r="IN25" i="1" s="1"/>
  <c r="O26" i="1"/>
  <c r="IH5" i="1"/>
  <c r="MX25" i="1"/>
  <c r="R10" i="1"/>
  <c r="R5" i="1"/>
  <c r="AL5" i="1"/>
  <c r="FL8" i="1"/>
  <c r="FO8" i="1" s="1"/>
  <c r="FP8" i="1" s="1"/>
  <c r="AL10" i="1"/>
  <c r="AL17" i="1"/>
  <c r="R17" i="1"/>
  <c r="AP25" i="1"/>
  <c r="BF9" i="1"/>
  <c r="CD23" i="1"/>
  <c r="CE23" i="1" s="1"/>
  <c r="CD24" i="1"/>
  <c r="CE24" i="1" s="1"/>
  <c r="BX23" i="1"/>
  <c r="I31" i="49"/>
  <c r="BX24" i="1"/>
  <c r="I32" i="49"/>
  <c r="BX22" i="1"/>
  <c r="I30" i="49"/>
  <c r="CD20" i="1"/>
  <c r="CE20" i="1" s="1"/>
  <c r="FR14" i="1"/>
  <c r="FS14" i="1" s="1"/>
  <c r="G17" i="59" s="1"/>
  <c r="GL14" i="1"/>
  <c r="FU21" i="1"/>
  <c r="Q20" i="59"/>
  <c r="CD26" i="1"/>
  <c r="BX26" i="1"/>
  <c r="I34" i="49"/>
  <c r="AO11" i="1"/>
  <c r="FW11" i="1"/>
  <c r="K14" i="59"/>
  <c r="K15" i="49"/>
  <c r="FV8" i="1"/>
  <c r="FW14" i="1"/>
  <c r="K17" i="59"/>
  <c r="K18" i="49"/>
  <c r="FW26" i="1"/>
  <c r="K34" i="59"/>
  <c r="AO25" i="1"/>
  <c r="FW25" i="1"/>
  <c r="K33" i="59"/>
  <c r="FW10" i="1"/>
  <c r="K13" i="59"/>
  <c r="K14" i="49"/>
  <c r="FW23" i="1"/>
  <c r="K22" i="59"/>
  <c r="C28" i="59"/>
  <c r="C19" i="49"/>
  <c r="C11" i="59"/>
  <c r="C11" i="49"/>
  <c r="AH9" i="1"/>
  <c r="HR9" i="1" s="1"/>
  <c r="FW9" i="1"/>
  <c r="K27" i="59"/>
  <c r="K13" i="49"/>
  <c r="AO6" i="1"/>
  <c r="FW6" i="1"/>
  <c r="K10" i="59"/>
  <c r="K10" i="49"/>
  <c r="IM24" i="1"/>
  <c r="IN24" i="1" s="1"/>
  <c r="FW24" i="1"/>
  <c r="K23" i="59"/>
  <c r="AH17" i="1"/>
  <c r="HR17" i="1" s="1"/>
  <c r="FW17" i="1"/>
  <c r="K18" i="59"/>
  <c r="K21" i="49"/>
  <c r="FW5" i="1"/>
  <c r="K9" i="59"/>
  <c r="K9" i="49"/>
  <c r="FW13" i="1"/>
  <c r="K16" i="59"/>
  <c r="K17" i="49"/>
  <c r="FW8" i="1"/>
  <c r="K12" i="59"/>
  <c r="K12" i="49"/>
  <c r="FW16" i="1"/>
  <c r="K29" i="59"/>
  <c r="K20" i="49"/>
  <c r="AG21" i="1"/>
  <c r="FW20" i="1"/>
  <c r="K20" i="59"/>
  <c r="FW12" i="1"/>
  <c r="K15" i="59"/>
  <c r="K16" i="49"/>
  <c r="NJ16" i="1"/>
  <c r="NK16" i="1" s="1"/>
  <c r="NJ22" i="1"/>
  <c r="NK22" i="1" s="1"/>
  <c r="GO23" i="1"/>
  <c r="BF24" i="1"/>
  <c r="AH25" i="1"/>
  <c r="HR25" i="1" s="1"/>
  <c r="HZ20" i="1"/>
  <c r="T15" i="1"/>
  <c r="KD26" i="1"/>
  <c r="KR26" i="1" s="1"/>
  <c r="HZ17" i="1"/>
  <c r="IM11" i="1"/>
  <c r="IN11" i="1" s="1"/>
  <c r="IH17" i="1"/>
  <c r="MU26" i="1"/>
  <c r="NI26" i="1" s="1"/>
  <c r="KF25" i="1"/>
  <c r="AL26" i="1"/>
  <c r="KF20" i="1"/>
  <c r="IM6" i="1"/>
  <c r="IN6" i="1" s="1"/>
  <c r="NJ15" i="1"/>
  <c r="NK15" i="1" s="1"/>
  <c r="O23" i="1"/>
  <c r="KF23" i="1"/>
  <c r="FL12" i="1"/>
  <c r="KR25" i="1"/>
  <c r="FV17" i="1"/>
  <c r="NI22" i="1"/>
  <c r="DT14" i="1"/>
  <c r="IL22" i="1"/>
  <c r="DW14" i="1"/>
  <c r="DV14" i="1"/>
  <c r="R18" i="1"/>
  <c r="AL18" i="1"/>
  <c r="R24" i="1"/>
  <c r="AL24" i="1"/>
  <c r="NJ18" i="1"/>
  <c r="NK18" i="1" s="1"/>
  <c r="FL18" i="1"/>
  <c r="FO18" i="1" s="1"/>
  <c r="FP18" i="1" s="1"/>
  <c r="GL18" i="1" s="1"/>
  <c r="FL14" i="1"/>
  <c r="FO14" i="1" s="1"/>
  <c r="NJ20" i="1"/>
  <c r="NK20" i="1" s="1"/>
  <c r="NJ7" i="1"/>
  <c r="NK7" i="1" s="1"/>
  <c r="AS27" i="1"/>
  <c r="FL24" i="1"/>
  <c r="AM27" i="1"/>
  <c r="KF22" i="1"/>
  <c r="HZ26" i="1"/>
  <c r="BF5" i="1"/>
  <c r="BF8" i="1"/>
  <c r="HZ5" i="1"/>
  <c r="HZ11" i="1"/>
  <c r="KF24" i="1"/>
  <c r="KF17" i="1"/>
  <c r="MW5" i="1"/>
  <c r="BF6" i="1"/>
  <c r="BF10" i="1"/>
  <c r="BF14" i="1"/>
  <c r="HZ8" i="1"/>
  <c r="HZ15" i="1"/>
  <c r="MW10" i="1"/>
  <c r="BF11" i="1"/>
  <c r="BF25" i="1"/>
  <c r="HZ18" i="1"/>
  <c r="HZ6" i="1"/>
  <c r="KF16" i="1"/>
  <c r="MW7" i="1"/>
  <c r="GF14" i="1"/>
  <c r="HZ12" i="1"/>
  <c r="BF17" i="1"/>
  <c r="BF13" i="1"/>
  <c r="KF9" i="1"/>
  <c r="MW18" i="1"/>
  <c r="MW26" i="1"/>
  <c r="HZ24" i="1"/>
  <c r="BF26" i="1"/>
  <c r="BF18" i="1"/>
  <c r="HZ7" i="1"/>
  <c r="HZ13" i="1"/>
  <c r="KF14" i="1"/>
  <c r="MW11" i="1"/>
  <c r="HZ16" i="1"/>
  <c r="KF18" i="1"/>
  <c r="MW9" i="1"/>
  <c r="BF12" i="1"/>
  <c r="BF16" i="1"/>
  <c r="BF22" i="1"/>
  <c r="R9" i="1"/>
  <c r="HZ9" i="1"/>
  <c r="HZ10" i="1"/>
  <c r="KF6" i="1"/>
  <c r="MW13" i="1"/>
  <c r="MW24" i="1"/>
  <c r="BF15" i="1"/>
  <c r="AL6" i="1"/>
  <c r="NJ11" i="1"/>
  <c r="NK11" i="1" s="1"/>
  <c r="FL15" i="1"/>
  <c r="FO15" i="1" s="1"/>
  <c r="GI15" i="1" s="1"/>
  <c r="AP6" i="1"/>
  <c r="HU23" i="1"/>
  <c r="BG15" i="1"/>
  <c r="FL5" i="1"/>
  <c r="FO5" i="1" s="1"/>
  <c r="FP5" i="1" s="1"/>
  <c r="FL9" i="1"/>
  <c r="AL9" i="1"/>
  <c r="NI10" i="1"/>
  <c r="NI15" i="1"/>
  <c r="AU15" i="1"/>
  <c r="O72" i="10"/>
  <c r="AE22" i="1"/>
  <c r="DC21" i="1"/>
  <c r="AK15" i="1"/>
  <c r="AM15" i="1" s="1"/>
  <c r="BP17" i="1"/>
  <c r="BS17" i="1" s="1"/>
  <c r="BT17" i="1" s="1"/>
  <c r="BP5" i="1"/>
  <c r="BS5" i="1" s="1"/>
  <c r="BT5" i="1" s="1"/>
  <c r="BP11" i="1"/>
  <c r="BS11" i="1" s="1"/>
  <c r="BT11" i="1" s="1"/>
  <c r="BP26" i="1"/>
  <c r="IJ14" i="1"/>
  <c r="NI7" i="1"/>
  <c r="I19" i="1"/>
  <c r="CP14" i="1"/>
  <c r="BV14" i="1"/>
  <c r="HK14" i="1"/>
  <c r="HI14" i="1"/>
  <c r="GW14" i="1"/>
  <c r="HE18" i="1"/>
  <c r="HE7" i="1"/>
  <c r="AL14" i="1"/>
  <c r="IH8" i="1"/>
  <c r="R13" i="1"/>
  <c r="AH24" i="1"/>
  <c r="HR24" i="1" s="1"/>
  <c r="AO17" i="1"/>
  <c r="AP17" i="1"/>
  <c r="AL13" i="1"/>
  <c r="NI5" i="1"/>
  <c r="AP11" i="1"/>
  <c r="BX21" i="1"/>
  <c r="AH11" i="1"/>
  <c r="HR11" i="1" s="1"/>
  <c r="AK6" i="1"/>
  <c r="AM6" i="1" s="1"/>
  <c r="HE14" i="1"/>
  <c r="CJ14" i="1"/>
  <c r="NJ13" i="1"/>
  <c r="NK13" i="1" s="1"/>
  <c r="O24" i="1"/>
  <c r="KA24" i="1"/>
  <c r="KR24" i="1" s="1"/>
  <c r="CL14" i="1"/>
  <c r="KA23" i="1"/>
  <c r="KR23" i="1" s="1"/>
  <c r="CM14" i="1"/>
  <c r="BG22" i="1"/>
  <c r="BG25" i="1"/>
  <c r="IL16" i="1"/>
  <c r="KR6" i="1"/>
  <c r="KR20" i="1"/>
  <c r="IJ13" i="1"/>
  <c r="NI16" i="1"/>
  <c r="FL17" i="1"/>
  <c r="FO17" i="1" s="1"/>
  <c r="FP17" i="1" s="1"/>
  <c r="GL17" i="1" s="1"/>
  <c r="FV20" i="1"/>
  <c r="FV21" i="1" s="1"/>
  <c r="NG7" i="1"/>
  <c r="BG8" i="1"/>
  <c r="AO8" i="1"/>
  <c r="AP8" i="1"/>
  <c r="AH8" i="1"/>
  <c r="HR8" i="1" s="1"/>
  <c r="IM8" i="1"/>
  <c r="IN8" i="1" s="1"/>
  <c r="AO23" i="1"/>
  <c r="AH23" i="1"/>
  <c r="HR23" i="1" s="1"/>
  <c r="IM23" i="1"/>
  <c r="IN23" i="1" s="1"/>
  <c r="AP23" i="1"/>
  <c r="AO14" i="1"/>
  <c r="AH14" i="1"/>
  <c r="HR14" i="1" s="1"/>
  <c r="IM14" i="1"/>
  <c r="IN14" i="1" s="1"/>
  <c r="AO5" i="1"/>
  <c r="AP5" i="1"/>
  <c r="AH5" i="1"/>
  <c r="HR5" i="1" s="1"/>
  <c r="IM5" i="1"/>
  <c r="IN5" i="1" s="1"/>
  <c r="CK20" i="1"/>
  <c r="CK21" i="1" s="1"/>
  <c r="IJ26" i="1"/>
  <c r="IL17" i="1"/>
  <c r="BY11" i="1"/>
  <c r="CC11" i="1" s="1"/>
  <c r="KR14" i="1"/>
  <c r="FV13" i="1"/>
  <c r="IM9" i="1"/>
  <c r="IN9" i="1" s="1"/>
  <c r="R25" i="1"/>
  <c r="KP24" i="1"/>
  <c r="IL15" i="1"/>
  <c r="AL25" i="1"/>
  <c r="BG12" i="1"/>
  <c r="IL5" i="1"/>
  <c r="KR9" i="1"/>
  <c r="AL23" i="1"/>
  <c r="R23" i="1"/>
  <c r="AO9" i="1"/>
  <c r="AP9" i="1"/>
  <c r="IL8" i="1"/>
  <c r="NJ23" i="1"/>
  <c r="NK23" i="1" s="1"/>
  <c r="IL7" i="1"/>
  <c r="HL14" i="1"/>
  <c r="AL7" i="1"/>
  <c r="IH16" i="1"/>
  <c r="IL14" i="1"/>
  <c r="CK18" i="1"/>
  <c r="CN18" i="1" s="1"/>
  <c r="FL25" i="1"/>
  <c r="AH26" i="1"/>
  <c r="IM26" i="1"/>
  <c r="IN26" i="1" s="1"/>
  <c r="IJ12" i="1"/>
  <c r="IH25" i="1"/>
  <c r="IJ9" i="1"/>
  <c r="IJ18" i="1"/>
  <c r="IL18" i="1"/>
  <c r="NG9" i="1"/>
  <c r="NI9" i="1"/>
  <c r="NI8" i="1"/>
  <c r="NG8" i="1"/>
  <c r="IL12" i="1"/>
  <c r="AH13" i="1"/>
  <c r="HR13" i="1" s="1"/>
  <c r="IM13" i="1"/>
  <c r="IN13" i="1" s="1"/>
  <c r="AP13" i="1"/>
  <c r="AO13" i="1"/>
  <c r="R14" i="1"/>
  <c r="R15" i="1"/>
  <c r="NJ14" i="1"/>
  <c r="NK14" i="1" s="1"/>
  <c r="R7" i="1"/>
  <c r="T7" i="1"/>
  <c r="O22" i="1"/>
  <c r="NI14" i="1"/>
  <c r="FL6" i="1"/>
  <c r="FO6" i="1" s="1"/>
  <c r="FP6" i="1" s="1"/>
  <c r="GL6" i="1" s="1"/>
  <c r="KA22" i="1"/>
  <c r="NJ24" i="1"/>
  <c r="NK24" i="1" s="1"/>
  <c r="IL9" i="1"/>
  <c r="FV23" i="1"/>
  <c r="O19" i="1"/>
  <c r="KR7" i="1"/>
  <c r="NI17" i="1"/>
  <c r="AP14" i="1"/>
  <c r="FT19" i="1"/>
  <c r="BS23" i="1"/>
  <c r="BT23" i="1" s="1"/>
  <c r="BV23" i="1" s="1"/>
  <c r="KP22" i="1"/>
  <c r="IJ22" i="1"/>
  <c r="J27" i="1"/>
  <c r="KR18" i="1"/>
  <c r="NI25" i="1"/>
  <c r="DC19" i="1"/>
  <c r="FL16" i="1"/>
  <c r="NB17" i="1"/>
  <c r="CK17" i="1"/>
  <c r="IL10" i="1"/>
  <c r="BG10" i="1"/>
  <c r="IH10" i="1"/>
  <c r="BG13" i="1"/>
  <c r="IL13" i="1"/>
  <c r="KR5" i="1"/>
  <c r="KP12" i="1"/>
  <c r="KR12" i="1"/>
  <c r="KN11" i="1"/>
  <c r="KR11" i="1"/>
  <c r="KR8" i="1"/>
  <c r="KR13" i="1"/>
  <c r="KP13" i="1"/>
  <c r="KR17" i="1"/>
  <c r="KP17" i="1"/>
  <c r="BX19" i="1"/>
  <c r="AP24" i="1"/>
  <c r="AO24" i="1"/>
  <c r="AP26" i="1"/>
  <c r="AO26" i="1"/>
  <c r="AU23" i="1"/>
  <c r="IJ5" i="1"/>
  <c r="NI13" i="1"/>
  <c r="CK16" i="1"/>
  <c r="CK7" i="1"/>
  <c r="CQ7" i="1" s="1"/>
  <c r="FV6" i="1"/>
  <c r="NI18" i="1"/>
  <c r="CK5" i="1"/>
  <c r="IL11" i="1"/>
  <c r="T27" i="1"/>
  <c r="FL11" i="1"/>
  <c r="MW6" i="1"/>
  <c r="MW20" i="1"/>
  <c r="MW23" i="1"/>
  <c r="KF8" i="1"/>
  <c r="KF26" i="1"/>
  <c r="MW25" i="1"/>
  <c r="MW17" i="1"/>
  <c r="MW14" i="1"/>
  <c r="KF11" i="1"/>
  <c r="KF5" i="1"/>
  <c r="KF12" i="1"/>
  <c r="MW12" i="1"/>
  <c r="MW22" i="1"/>
  <c r="MW15" i="1"/>
  <c r="MW8" i="1"/>
  <c r="MW16" i="1"/>
  <c r="KF13" i="1"/>
  <c r="KF7" i="1"/>
  <c r="KF15" i="1"/>
  <c r="KR16" i="1"/>
  <c r="FL10" i="1"/>
  <c r="BG20" i="1"/>
  <c r="CK11" i="1"/>
  <c r="AU13" i="1"/>
  <c r="FL13" i="1"/>
  <c r="CK13" i="1"/>
  <c r="BG11" i="1"/>
  <c r="BG16" i="1"/>
  <c r="GY19" i="1"/>
  <c r="BG18" i="1"/>
  <c r="AE18" i="1"/>
  <c r="AD7" i="1"/>
  <c r="AG7" i="1" s="1"/>
  <c r="K21" i="73" s="1"/>
  <c r="FL26" i="1"/>
  <c r="BG9" i="1"/>
  <c r="BG5" i="1"/>
  <c r="FV14" i="1"/>
  <c r="FV18" i="1"/>
  <c r="GI14" i="1"/>
  <c r="NI6" i="1"/>
  <c r="GH14" i="1"/>
  <c r="BG17" i="1"/>
  <c r="CK10" i="1"/>
  <c r="IL20" i="1"/>
  <c r="BG6" i="1"/>
  <c r="IH9" i="1"/>
  <c r="KR10" i="1"/>
  <c r="BG7" i="1"/>
  <c r="CK9" i="1"/>
  <c r="IL25" i="1"/>
  <c r="BG14" i="1"/>
  <c r="IH11" i="1"/>
  <c r="CK8" i="1"/>
  <c r="CK6" i="1"/>
  <c r="CN6" i="1" s="1"/>
  <c r="CK14" i="1"/>
  <c r="NI20" i="1"/>
  <c r="CA18" i="1"/>
  <c r="BY18" i="1"/>
  <c r="DA14" i="1"/>
  <c r="FV5" i="1"/>
  <c r="AW26" i="1"/>
  <c r="CA17" i="1"/>
  <c r="BY17" i="1"/>
  <c r="BZ17" i="1" s="1"/>
  <c r="NI11" i="1"/>
  <c r="CK25" i="1"/>
  <c r="CQ25" i="1" s="1"/>
  <c r="CK12" i="1"/>
  <c r="NI23" i="1"/>
  <c r="NI24" i="1"/>
  <c r="FV7" i="1"/>
  <c r="AU8" i="1"/>
  <c r="AU12" i="1"/>
  <c r="AD15" i="1"/>
  <c r="AG15" i="1" s="1"/>
  <c r="K11" i="73" s="1"/>
  <c r="O11" i="73" s="1"/>
  <c r="FV12" i="1"/>
  <c r="CA9" i="1"/>
  <c r="AQ20" i="1"/>
  <c r="AK20" i="1"/>
  <c r="AM20" i="1" s="1"/>
  <c r="EA20" i="1" s="1"/>
  <c r="EC20" i="1" s="1"/>
  <c r="AU14" i="1"/>
  <c r="FV24" i="1"/>
  <c r="BS24" i="1"/>
  <c r="BT24" i="1" s="1"/>
  <c r="DY25" i="1"/>
  <c r="BY10" i="1"/>
  <c r="CC10" i="1" s="1"/>
  <c r="BY8" i="1"/>
  <c r="CC8" i="1" s="1"/>
  <c r="FV10" i="1"/>
  <c r="BY7" i="1"/>
  <c r="BZ7" i="1" s="1"/>
  <c r="CA7" i="1"/>
  <c r="NG22" i="1"/>
  <c r="BZ9" i="1"/>
  <c r="AM7" i="1"/>
  <c r="BY5" i="1"/>
  <c r="CC5" i="1" s="1"/>
  <c r="FV22" i="1"/>
  <c r="AU11" i="1"/>
  <c r="BY13" i="1"/>
  <c r="CC13" i="1" s="1"/>
  <c r="BY14" i="1"/>
  <c r="CA14" i="1"/>
  <c r="FV11" i="1"/>
  <c r="CK15" i="1"/>
  <c r="KR15" i="1"/>
  <c r="NI12" i="1"/>
  <c r="NG12" i="1"/>
  <c r="IJ6" i="1"/>
  <c r="IL6" i="1"/>
  <c r="BG24" i="1"/>
  <c r="IJ15" i="1"/>
  <c r="IH20" i="1"/>
  <c r="KN25" i="1"/>
  <c r="IL24" i="1"/>
  <c r="AU18" i="1"/>
  <c r="GZ19" i="1"/>
  <c r="AU26" i="1"/>
  <c r="AU24" i="1"/>
  <c r="AU17" i="1"/>
  <c r="AU5" i="1"/>
  <c r="AU9" i="1"/>
  <c r="BY16" i="1"/>
  <c r="HZ22" i="1"/>
  <c r="FL22" i="1"/>
  <c r="AU22" i="1"/>
  <c r="AU16" i="1"/>
  <c r="FI23" i="1"/>
  <c r="FL23" i="1" s="1"/>
  <c r="FO23" i="1" s="1"/>
  <c r="CS23" i="1"/>
  <c r="CU23" i="1" s="1"/>
  <c r="CX23" i="1" s="1"/>
  <c r="CY23" i="1" s="1"/>
  <c r="AU25" i="1"/>
  <c r="AU10" i="1"/>
  <c r="BT22" i="1"/>
  <c r="BV22" i="1" s="1"/>
  <c r="AU6" i="1"/>
  <c r="C34" i="10"/>
  <c r="C38" i="10" s="1"/>
  <c r="E38" i="10"/>
  <c r="EL9" i="1" l="1"/>
  <c r="G22" i="73"/>
  <c r="FD23" i="1"/>
  <c r="ET23" i="1" s="1"/>
  <c r="ET12" i="1"/>
  <c r="ET8" i="1"/>
  <c r="EJ10" i="1"/>
  <c r="E18" i="73"/>
  <c r="HE6" i="1"/>
  <c r="Y10" i="69"/>
  <c r="EO13" i="1"/>
  <c r="E24" i="73"/>
  <c r="ET18" i="1"/>
  <c r="EO9" i="1"/>
  <c r="E22" i="73"/>
  <c r="EL13" i="1"/>
  <c r="EN13" i="1" s="1"/>
  <c r="G24" i="73"/>
  <c r="EO24" i="1"/>
  <c r="E29" i="73"/>
  <c r="EO23" i="1"/>
  <c r="E28" i="73"/>
  <c r="EO26" i="1"/>
  <c r="E34" i="73"/>
  <c r="EJ11" i="1"/>
  <c r="E19" i="73"/>
  <c r="EL6" i="1"/>
  <c r="EN6" i="1" s="1"/>
  <c r="G20" i="73"/>
  <c r="EO12" i="1"/>
  <c r="E23" i="73"/>
  <c r="EO16" i="1"/>
  <c r="E26" i="73"/>
  <c r="EO6" i="1"/>
  <c r="E20" i="73"/>
  <c r="EJ26" i="1"/>
  <c r="ET24" i="1"/>
  <c r="EJ12" i="1"/>
  <c r="EJ18" i="1"/>
  <c r="G13" i="73" s="1"/>
  <c r="ET26" i="1"/>
  <c r="EG5" i="1"/>
  <c r="EJ17" i="1"/>
  <c r="G12" i="73" s="1"/>
  <c r="EF27" i="1"/>
  <c r="EG22" i="1"/>
  <c r="EJ8" i="1"/>
  <c r="G10" i="73" s="1"/>
  <c r="EM6" i="1"/>
  <c r="AM20" i="73" s="1"/>
  <c r="EM13" i="1"/>
  <c r="AM24" i="73" s="1"/>
  <c r="EN9" i="1"/>
  <c r="EM9" i="1"/>
  <c r="AM22" i="73" s="1"/>
  <c r="EC21" i="1"/>
  <c r="EF20" i="1"/>
  <c r="EJ24" i="1"/>
  <c r="ET10" i="1"/>
  <c r="EJ16" i="1"/>
  <c r="EJ23" i="1"/>
  <c r="ET11" i="1"/>
  <c r="ET13" i="1"/>
  <c r="ET9" i="1"/>
  <c r="ET17" i="1"/>
  <c r="E25" i="72"/>
  <c r="Q25" i="72" s="1"/>
  <c r="U34" i="73"/>
  <c r="S34" i="73"/>
  <c r="S35" i="73" s="1"/>
  <c r="C37" i="72"/>
  <c r="K33" i="69"/>
  <c r="K35" i="73"/>
  <c r="O26" i="49"/>
  <c r="K27" i="49"/>
  <c r="HE8" i="1"/>
  <c r="AH21" i="1"/>
  <c r="I35" i="72"/>
  <c r="I37" i="72" s="1"/>
  <c r="E16" i="39" s="1"/>
  <c r="GQ23" i="1"/>
  <c r="GT23" i="1" s="1"/>
  <c r="GU23" i="1" s="1"/>
  <c r="BL16" i="1"/>
  <c r="BI16" i="1"/>
  <c r="BI9" i="1"/>
  <c r="BL9" i="1"/>
  <c r="BK16" i="1"/>
  <c r="BH16" i="1"/>
  <c r="BK24" i="1"/>
  <c r="BH24" i="1"/>
  <c r="BL24" i="1"/>
  <c r="BI24" i="1"/>
  <c r="BH13" i="1"/>
  <c r="BK13" i="1"/>
  <c r="BI25" i="1"/>
  <c r="BL25" i="1"/>
  <c r="HT15" i="1"/>
  <c r="IO15" i="1" s="1"/>
  <c r="BK15" i="1"/>
  <c r="BH15" i="1"/>
  <c r="BL15" i="1"/>
  <c r="BI15" i="1"/>
  <c r="BI22" i="1"/>
  <c r="BL22" i="1"/>
  <c r="BH10" i="1"/>
  <c r="BK10" i="1"/>
  <c r="BH22" i="1"/>
  <c r="BK22" i="1"/>
  <c r="BH23" i="1"/>
  <c r="BK23" i="1"/>
  <c r="BI10" i="1"/>
  <c r="BL10" i="1"/>
  <c r="BH6" i="1"/>
  <c r="BK6" i="1"/>
  <c r="BI18" i="1"/>
  <c r="BL18" i="1"/>
  <c r="BL20" i="1"/>
  <c r="BL21" i="1" s="1"/>
  <c r="BI20" i="1"/>
  <c r="BI21" i="1" s="1"/>
  <c r="BL12" i="1"/>
  <c r="BI12" i="1"/>
  <c r="BI5" i="1"/>
  <c r="BL5" i="1"/>
  <c r="BH9" i="1"/>
  <c r="BK9" i="1"/>
  <c r="BH26" i="1"/>
  <c r="BK26" i="1"/>
  <c r="BI6" i="1"/>
  <c r="BL6" i="1"/>
  <c r="BH18" i="1"/>
  <c r="BK18" i="1"/>
  <c r="BI17" i="1"/>
  <c r="BL17" i="1"/>
  <c r="BK12" i="1"/>
  <c r="BH12" i="1"/>
  <c r="BL11" i="1"/>
  <c r="BI11" i="1"/>
  <c r="BI13" i="1"/>
  <c r="BL13" i="1"/>
  <c r="BH5" i="1"/>
  <c r="BK5" i="1"/>
  <c r="BI14" i="1"/>
  <c r="BL14" i="1"/>
  <c r="BH25" i="1"/>
  <c r="BJ25" i="1" s="1"/>
  <c r="BK25" i="1"/>
  <c r="BK11" i="1"/>
  <c r="BH11" i="1"/>
  <c r="BH17" i="1"/>
  <c r="BJ17" i="1" s="1"/>
  <c r="BK17" i="1"/>
  <c r="BM17" i="1" s="1"/>
  <c r="BH14" i="1"/>
  <c r="BJ14" i="1" s="1"/>
  <c r="BK14" i="1"/>
  <c r="BM14" i="1" s="1"/>
  <c r="BK8" i="1"/>
  <c r="BH8" i="1"/>
  <c r="BL7" i="1"/>
  <c r="BI7" i="1"/>
  <c r="BI8" i="1"/>
  <c r="BL8" i="1"/>
  <c r="HE12" i="1"/>
  <c r="DU26" i="1"/>
  <c r="GG26" i="1" s="1"/>
  <c r="GT22" i="1"/>
  <c r="GU22" i="1" s="1"/>
  <c r="HK22" i="1" s="1"/>
  <c r="GT6" i="1"/>
  <c r="GU6" i="1" s="1"/>
  <c r="HN6" i="1" s="1"/>
  <c r="GT8" i="1"/>
  <c r="GU8" i="1" s="1"/>
  <c r="HI8" i="1" s="1"/>
  <c r="HN8" i="1" s="1"/>
  <c r="HJ9" i="1"/>
  <c r="BG21" i="1"/>
  <c r="HJ11" i="1"/>
  <c r="HO11" i="1" s="1"/>
  <c r="GT14" i="1"/>
  <c r="HE16" i="1"/>
  <c r="HE10" i="1"/>
  <c r="HE15" i="1"/>
  <c r="CY5" i="1"/>
  <c r="DY5" i="1" s="1"/>
  <c r="CU27" i="1"/>
  <c r="CX22" i="1"/>
  <c r="HE24" i="1"/>
  <c r="AM21" i="1"/>
  <c r="K13" i="72"/>
  <c r="O13" i="72" s="1"/>
  <c r="DX7" i="1"/>
  <c r="HE9" i="1"/>
  <c r="K35" i="72"/>
  <c r="BG23" i="1"/>
  <c r="FX14" i="1"/>
  <c r="G76" i="10"/>
  <c r="M76" i="10"/>
  <c r="C76" i="10"/>
  <c r="K76" i="10"/>
  <c r="E76" i="10"/>
  <c r="IL26" i="1"/>
  <c r="BG26" i="1"/>
  <c r="HE11" i="1"/>
  <c r="HD21" i="1"/>
  <c r="K11" i="69"/>
  <c r="K21" i="72"/>
  <c r="HE22" i="1"/>
  <c r="S34" i="72"/>
  <c r="U34" i="72"/>
  <c r="C27" i="69"/>
  <c r="C35" i="69" s="1"/>
  <c r="HE13" i="1"/>
  <c r="T32" i="9"/>
  <c r="T105" i="9"/>
  <c r="J106" i="9" s="1"/>
  <c r="U32" i="9"/>
  <c r="I117" i="9"/>
  <c r="I115" i="9"/>
  <c r="T80" i="9"/>
  <c r="H81" i="9" s="1"/>
  <c r="CE26" i="1"/>
  <c r="U80" i="9"/>
  <c r="O123" i="9"/>
  <c r="U62" i="9"/>
  <c r="P122" i="9"/>
  <c r="W23" i="49"/>
  <c r="S34" i="59"/>
  <c r="S35" i="59" s="1"/>
  <c r="S31" i="69"/>
  <c r="AC34" i="59"/>
  <c r="I35" i="59"/>
  <c r="K19" i="69"/>
  <c r="U32" i="69"/>
  <c r="U33" i="69" s="1"/>
  <c r="I33" i="69"/>
  <c r="I35" i="69" s="1"/>
  <c r="F16" i="39" s="1"/>
  <c r="MP14" i="1"/>
  <c r="E18" i="69"/>
  <c r="P123" i="9"/>
  <c r="N117" i="9"/>
  <c r="N123" i="9"/>
  <c r="N122" i="9"/>
  <c r="N115" i="9"/>
  <c r="N113" i="9"/>
  <c r="P115" i="9"/>
  <c r="O115" i="9"/>
  <c r="O122" i="9"/>
  <c r="P113" i="9"/>
  <c r="H113" i="9"/>
  <c r="H123" i="9"/>
  <c r="H115" i="9"/>
  <c r="D106" i="9"/>
  <c r="E106" i="9"/>
  <c r="N106" i="9"/>
  <c r="D104" i="9"/>
  <c r="H104" i="9"/>
  <c r="B104" i="9"/>
  <c r="E104" i="9"/>
  <c r="S104" i="9"/>
  <c r="F104" i="9"/>
  <c r="I104" i="9"/>
  <c r="O104" i="9"/>
  <c r="P104" i="9"/>
  <c r="N104" i="9"/>
  <c r="Q104" i="9"/>
  <c r="K104" i="9"/>
  <c r="G104" i="9"/>
  <c r="D113" i="9"/>
  <c r="D117" i="9"/>
  <c r="D123" i="9"/>
  <c r="D115" i="9"/>
  <c r="D122" i="9"/>
  <c r="J24" i="9"/>
  <c r="P24" i="9"/>
  <c r="F24" i="9"/>
  <c r="Q24" i="9"/>
  <c r="E24" i="9"/>
  <c r="H24" i="9"/>
  <c r="O24" i="9"/>
  <c r="I24" i="9"/>
  <c r="N24" i="9"/>
  <c r="G24" i="9"/>
  <c r="K24" i="9"/>
  <c r="D24" i="9"/>
  <c r="S24" i="9"/>
  <c r="I81" i="9"/>
  <c r="B115" i="9"/>
  <c r="B113" i="9"/>
  <c r="B117" i="9"/>
  <c r="B123" i="9"/>
  <c r="B122" i="9"/>
  <c r="P22" i="9"/>
  <c r="E22" i="9"/>
  <c r="K22" i="9"/>
  <c r="S22" i="9"/>
  <c r="H22" i="9"/>
  <c r="Q22" i="9"/>
  <c r="J22" i="9"/>
  <c r="I22" i="9"/>
  <c r="B22" i="9"/>
  <c r="D22" i="9"/>
  <c r="C22" i="9"/>
  <c r="F22" i="9"/>
  <c r="G22" i="9"/>
  <c r="D81" i="9"/>
  <c r="C30" i="59"/>
  <c r="J104" i="9"/>
  <c r="N22" i="9"/>
  <c r="O22" i="9"/>
  <c r="U35" i="9"/>
  <c r="T35" i="9"/>
  <c r="F36" i="9" s="1"/>
  <c r="J113" i="9"/>
  <c r="J115" i="9"/>
  <c r="J123" i="9"/>
  <c r="J122" i="9"/>
  <c r="J117" i="9"/>
  <c r="T62" i="9"/>
  <c r="K63" i="9" s="1"/>
  <c r="U105" i="9"/>
  <c r="U33" i="9"/>
  <c r="T33" i="9"/>
  <c r="P81" i="9"/>
  <c r="B81" i="9"/>
  <c r="G81" i="9"/>
  <c r="Q81" i="9"/>
  <c r="F81" i="9"/>
  <c r="O81" i="9"/>
  <c r="K81" i="9"/>
  <c r="J81" i="9"/>
  <c r="S81" i="9"/>
  <c r="C81" i="9"/>
  <c r="T91" i="9"/>
  <c r="S92" i="9" s="1"/>
  <c r="T60" i="9"/>
  <c r="P61" i="9" s="1"/>
  <c r="G113" i="9"/>
  <c r="G115" i="9"/>
  <c r="G122" i="9"/>
  <c r="G123" i="9"/>
  <c r="G117" i="9"/>
  <c r="U78" i="9"/>
  <c r="T78" i="9"/>
  <c r="C79" i="9" s="1"/>
  <c r="C104" i="9"/>
  <c r="N81" i="9"/>
  <c r="U91" i="9"/>
  <c r="E81" i="9"/>
  <c r="T93" i="9"/>
  <c r="B94" i="9" s="1"/>
  <c r="U93" i="9"/>
  <c r="C24" i="9"/>
  <c r="C117" i="9"/>
  <c r="C122" i="9"/>
  <c r="C123" i="9"/>
  <c r="C115" i="9"/>
  <c r="C113" i="9"/>
  <c r="B24" i="9"/>
  <c r="U60" i="9"/>
  <c r="K35" i="59"/>
  <c r="CK23" i="1"/>
  <c r="CQ23" i="1" s="1"/>
  <c r="T19" i="1"/>
  <c r="CN20" i="1"/>
  <c r="CN21" i="1" s="1"/>
  <c r="IL23" i="1"/>
  <c r="KR22" i="1"/>
  <c r="CK22" i="1"/>
  <c r="CN22" i="1" s="1"/>
  <c r="CN7" i="1"/>
  <c r="E17" i="59"/>
  <c r="E31" i="49"/>
  <c r="Q30" i="49"/>
  <c r="O32" i="49"/>
  <c r="Q32" i="49"/>
  <c r="W26" i="49"/>
  <c r="GG21" i="1"/>
  <c r="GF8" i="1"/>
  <c r="GL8" i="1" s="1"/>
  <c r="O34" i="49"/>
  <c r="Q34" i="49"/>
  <c r="O31" i="49"/>
  <c r="I35" i="49"/>
  <c r="Q31" i="49"/>
  <c r="FO25" i="1"/>
  <c r="FP25" i="1" s="1"/>
  <c r="GH25" i="1" s="1"/>
  <c r="KS5" i="1"/>
  <c r="KT5" i="1" s="1"/>
  <c r="KS10" i="1"/>
  <c r="KT10" i="1" s="1"/>
  <c r="HE20" i="1"/>
  <c r="HE21" i="1" s="1"/>
  <c r="FW7" i="1"/>
  <c r="K11" i="59"/>
  <c r="K11" i="49"/>
  <c r="JY14" i="1"/>
  <c r="E18" i="49"/>
  <c r="C24" i="59"/>
  <c r="O27" i="1"/>
  <c r="FW15" i="1"/>
  <c r="K28" i="59"/>
  <c r="K30" i="59" s="1"/>
  <c r="K19" i="49"/>
  <c r="C23" i="49"/>
  <c r="BZ11" i="1"/>
  <c r="FO12" i="1"/>
  <c r="FP12" i="1" s="1"/>
  <c r="GL12" i="1" s="1"/>
  <c r="CK26" i="1"/>
  <c r="CN26" i="1" s="1"/>
  <c r="AL27" i="1"/>
  <c r="FO24" i="1"/>
  <c r="FP24" i="1" s="1"/>
  <c r="GL24" i="1" s="1"/>
  <c r="BW22" i="1"/>
  <c r="E30" i="49"/>
  <c r="DA17" i="1"/>
  <c r="DA11" i="1"/>
  <c r="E12" i="72" s="1"/>
  <c r="DA25" i="1"/>
  <c r="HJ8" i="1"/>
  <c r="GT17" i="1"/>
  <c r="GU17" i="1" s="1"/>
  <c r="HN17" i="1" s="1"/>
  <c r="BF27" i="1"/>
  <c r="DZ6" i="1"/>
  <c r="DX6" i="1"/>
  <c r="DB14" i="1"/>
  <c r="DG14" i="1"/>
  <c r="DZ7" i="1"/>
  <c r="DZ15" i="1"/>
  <c r="DX15" i="1"/>
  <c r="GJ11" i="1"/>
  <c r="DZ9" i="1"/>
  <c r="DX9" i="1"/>
  <c r="HJ15" i="1"/>
  <c r="HM15" i="1" s="1"/>
  <c r="DZ17" i="1"/>
  <c r="DX17" i="1"/>
  <c r="CQ6" i="1"/>
  <c r="FO9" i="1"/>
  <c r="FP9" i="1" s="1"/>
  <c r="GL9" i="1" s="1"/>
  <c r="DX18" i="1"/>
  <c r="DZ18" i="1"/>
  <c r="HJ16" i="1"/>
  <c r="HO16" i="1" s="1"/>
  <c r="DZ16" i="1"/>
  <c r="DX16" i="1"/>
  <c r="DX14" i="1"/>
  <c r="DL14" i="1" s="1"/>
  <c r="DZ14" i="1"/>
  <c r="DM14" i="1" s="1"/>
  <c r="R27" i="1"/>
  <c r="HE23" i="1"/>
  <c r="HK10" i="1"/>
  <c r="HI10" i="1"/>
  <c r="GW10" i="1"/>
  <c r="HL10" i="1"/>
  <c r="R19" i="1"/>
  <c r="AL19" i="1"/>
  <c r="DY13" i="1"/>
  <c r="DY26" i="1"/>
  <c r="DY12" i="1"/>
  <c r="DY9" i="1"/>
  <c r="DY16" i="1"/>
  <c r="DY6" i="1"/>
  <c r="GF15" i="1"/>
  <c r="DY24" i="1"/>
  <c r="DW11" i="1"/>
  <c r="DV11" i="1"/>
  <c r="DT11" i="1"/>
  <c r="DW8" i="1"/>
  <c r="DT8" i="1"/>
  <c r="DV18" i="1"/>
  <c r="DT18" i="1"/>
  <c r="DW18" i="1"/>
  <c r="DV17" i="1"/>
  <c r="DT17" i="1"/>
  <c r="DW17" i="1"/>
  <c r="DT15" i="1"/>
  <c r="DW15" i="1"/>
  <c r="DV15" i="1"/>
  <c r="GJ14" i="1"/>
  <c r="GK14" i="1" s="1"/>
  <c r="GX14" i="1"/>
  <c r="CK24" i="1"/>
  <c r="CN24" i="1" s="1"/>
  <c r="AV15" i="1"/>
  <c r="AZ15" i="1" s="1"/>
  <c r="GT11" i="1"/>
  <c r="GU11" i="1" s="1"/>
  <c r="HK11" i="1" s="1"/>
  <c r="AG22" i="1"/>
  <c r="FI20" i="1"/>
  <c r="FL20" i="1" s="1"/>
  <c r="FL21" i="1" s="1"/>
  <c r="CQ18" i="1"/>
  <c r="HJ25" i="1"/>
  <c r="HM25" i="1" s="1"/>
  <c r="BW14" i="1"/>
  <c r="GJ13" i="1"/>
  <c r="BV24" i="1"/>
  <c r="BV6" i="1"/>
  <c r="CP12" i="1"/>
  <c r="BV12" i="1"/>
  <c r="CC9" i="1"/>
  <c r="CC7" i="1"/>
  <c r="GF17" i="1"/>
  <c r="GI17" i="1"/>
  <c r="FR17" i="1"/>
  <c r="GH17" i="1"/>
  <c r="CN25" i="1"/>
  <c r="CS20" i="1"/>
  <c r="CU20" i="1" s="1"/>
  <c r="CC18" i="1"/>
  <c r="CQ20" i="1"/>
  <c r="CQ21" i="1" s="1"/>
  <c r="DU21" i="1"/>
  <c r="FO11" i="1"/>
  <c r="FP11" i="1" s="1"/>
  <c r="GI11" i="1" s="1"/>
  <c r="GJ12" i="1"/>
  <c r="HJ22" i="1"/>
  <c r="GI8" i="1"/>
  <c r="FR8" i="1"/>
  <c r="E12" i="59" s="1"/>
  <c r="HJ12" i="1"/>
  <c r="CJ23" i="1"/>
  <c r="CP23" i="1" s="1"/>
  <c r="CM23" i="1"/>
  <c r="CL23" i="1"/>
  <c r="HR26" i="1"/>
  <c r="AH27" i="1"/>
  <c r="L13" i="9"/>
  <c r="F14" i="9"/>
  <c r="T14" i="9" s="1"/>
  <c r="AG18" i="1"/>
  <c r="K13" i="73" s="1"/>
  <c r="CQ16" i="1"/>
  <c r="CN16" i="1"/>
  <c r="HJ10" i="1"/>
  <c r="CN17" i="1"/>
  <c r="CQ17" i="1"/>
  <c r="GM23" i="1"/>
  <c r="FO26" i="1"/>
  <c r="FP26" i="1" s="1"/>
  <c r="FO13" i="1"/>
  <c r="FP13" i="1" s="1"/>
  <c r="GL13" i="1" s="1"/>
  <c r="CQ11" i="1"/>
  <c r="CN11" i="1"/>
  <c r="CQ5" i="1"/>
  <c r="CN5" i="1"/>
  <c r="FO16" i="1"/>
  <c r="FP16" i="1" s="1"/>
  <c r="GL16" i="1" s="1"/>
  <c r="CP11" i="1"/>
  <c r="CL11" i="1"/>
  <c r="CJ11" i="1"/>
  <c r="BZ18" i="1"/>
  <c r="GT13" i="1"/>
  <c r="GU13" i="1" s="1"/>
  <c r="HJ20" i="1"/>
  <c r="HJ21" i="1" s="1"/>
  <c r="BZ10" i="1"/>
  <c r="HJ17" i="1"/>
  <c r="HJ18" i="1"/>
  <c r="AV13" i="1"/>
  <c r="AZ13" i="1" s="1"/>
  <c r="HT13" i="1"/>
  <c r="FO10" i="1"/>
  <c r="FP10" i="1" s="1"/>
  <c r="GL10" i="1" s="1"/>
  <c r="HJ13" i="1"/>
  <c r="CC17" i="1"/>
  <c r="AP7" i="1"/>
  <c r="AH7" i="1"/>
  <c r="HR7" i="1" s="1"/>
  <c r="IM7" i="1"/>
  <c r="IN7" i="1" s="1"/>
  <c r="AO7" i="1"/>
  <c r="FR15" i="1"/>
  <c r="GH15" i="1"/>
  <c r="CN13" i="1"/>
  <c r="CQ13" i="1"/>
  <c r="KS8" i="1"/>
  <c r="KT8" i="1" s="1"/>
  <c r="CM12" i="1"/>
  <c r="CJ12" i="1"/>
  <c r="CL12" i="1"/>
  <c r="HJ5" i="1"/>
  <c r="AV23" i="1"/>
  <c r="AZ23" i="1" s="1"/>
  <c r="HT23" i="1"/>
  <c r="GT16" i="1"/>
  <c r="GU16" i="1" s="1"/>
  <c r="GW16" i="1" s="1"/>
  <c r="GO20" i="1"/>
  <c r="BZ13" i="1"/>
  <c r="HK12" i="1"/>
  <c r="HI12" i="1"/>
  <c r="HN12" i="1"/>
  <c r="HL12" i="1"/>
  <c r="GW12" i="1"/>
  <c r="AV8" i="1"/>
  <c r="AZ8" i="1" s="1"/>
  <c r="HT8" i="1"/>
  <c r="CQ12" i="1"/>
  <c r="CN12" i="1"/>
  <c r="BX27" i="1"/>
  <c r="FR5" i="1"/>
  <c r="GF5" i="1"/>
  <c r="GL5" i="1" s="1"/>
  <c r="GI5" i="1"/>
  <c r="HJ6" i="1"/>
  <c r="AS7" i="1"/>
  <c r="EC7" i="1" s="1"/>
  <c r="AM19" i="1"/>
  <c r="AS20" i="1"/>
  <c r="AS21" i="1" s="1"/>
  <c r="HE17" i="1"/>
  <c r="HD19" i="1"/>
  <c r="CQ8" i="1"/>
  <c r="CN8" i="1"/>
  <c r="HM9" i="1"/>
  <c r="HO9" i="1"/>
  <c r="AV11" i="1"/>
  <c r="AZ11" i="1" s="1"/>
  <c r="HT11" i="1"/>
  <c r="BZ8" i="1"/>
  <c r="AV14" i="1"/>
  <c r="AZ14" i="1" s="1"/>
  <c r="HT14" i="1"/>
  <c r="GI6" i="1"/>
  <c r="FR6" i="1"/>
  <c r="E10" i="59" s="1"/>
  <c r="GH6" i="1"/>
  <c r="GF6" i="1"/>
  <c r="HJ14" i="1"/>
  <c r="CN10" i="1"/>
  <c r="CQ10" i="1"/>
  <c r="CK19" i="1"/>
  <c r="CM24" i="1"/>
  <c r="CJ24" i="1"/>
  <c r="CP24" i="1"/>
  <c r="CL24" i="1"/>
  <c r="CN9" i="1"/>
  <c r="CQ9" i="1"/>
  <c r="BG19" i="1"/>
  <c r="CC14" i="1"/>
  <c r="BZ14" i="1"/>
  <c r="DW25" i="1"/>
  <c r="DV25" i="1"/>
  <c r="DT25" i="1"/>
  <c r="HJ7" i="1"/>
  <c r="AO15" i="1"/>
  <c r="AP15" i="1"/>
  <c r="E66" i="10" s="1"/>
  <c r="E26" i="10" s="1"/>
  <c r="AH15" i="1"/>
  <c r="IM15" i="1"/>
  <c r="IN15" i="1" s="1"/>
  <c r="CN14" i="1"/>
  <c r="CO14" i="1" s="1"/>
  <c r="CQ14" i="1"/>
  <c r="CR14" i="1" s="1"/>
  <c r="GF18" i="1"/>
  <c r="GH18" i="1"/>
  <c r="GI18" i="1"/>
  <c r="FR18" i="1"/>
  <c r="AV12" i="1"/>
  <c r="AZ12" i="1" s="1"/>
  <c r="HT12" i="1"/>
  <c r="BZ5" i="1"/>
  <c r="DA15" i="1"/>
  <c r="DA18" i="1"/>
  <c r="KS11" i="1"/>
  <c r="KT11" i="1" s="1"/>
  <c r="GW22" i="1"/>
  <c r="HL22" i="1"/>
  <c r="HI22" i="1"/>
  <c r="AV6" i="1"/>
  <c r="AZ6" i="1" s="1"/>
  <c r="HT6" i="1"/>
  <c r="AV10" i="1"/>
  <c r="AZ10" i="1" s="1"/>
  <c r="HT10" i="1"/>
  <c r="CP6" i="1"/>
  <c r="CM6" i="1"/>
  <c r="CL6" i="1"/>
  <c r="CJ6" i="1"/>
  <c r="GT9" i="1"/>
  <c r="GU9" i="1" s="1"/>
  <c r="GT24" i="1"/>
  <c r="GU24" i="1" s="1"/>
  <c r="CL22" i="1"/>
  <c r="CM22" i="1"/>
  <c r="CP22" i="1"/>
  <c r="CJ22" i="1"/>
  <c r="AV25" i="1"/>
  <c r="AZ25" i="1" s="1"/>
  <c r="EK25" i="1" s="1"/>
  <c r="HT25" i="1"/>
  <c r="AV24" i="1"/>
  <c r="AZ24" i="1" s="1"/>
  <c r="HT24" i="1"/>
  <c r="GT25" i="1"/>
  <c r="GU25" i="1" s="1"/>
  <c r="FL27" i="1"/>
  <c r="DA16" i="1"/>
  <c r="HT22" i="1"/>
  <c r="AV22" i="1"/>
  <c r="AZ22" i="1" s="1"/>
  <c r="DA13" i="1"/>
  <c r="AV9" i="1"/>
  <c r="AZ9" i="1" s="1"/>
  <c r="HT9" i="1"/>
  <c r="AV26" i="1"/>
  <c r="AU27" i="1"/>
  <c r="HT26" i="1"/>
  <c r="GM25" i="1"/>
  <c r="GJ25" i="1"/>
  <c r="AV18" i="1"/>
  <c r="AZ18" i="1" s="1"/>
  <c r="HT18" i="1"/>
  <c r="AV16" i="1"/>
  <c r="AZ16" i="1" s="1"/>
  <c r="HT16" i="1"/>
  <c r="BV17" i="1"/>
  <c r="HJ24" i="1"/>
  <c r="FO22" i="1"/>
  <c r="FP22" i="1" s="1"/>
  <c r="GL22" i="1" s="1"/>
  <c r="BZ16" i="1"/>
  <c r="AV17" i="1"/>
  <c r="AZ17" i="1" s="1"/>
  <c r="HT17" i="1"/>
  <c r="FP23" i="1"/>
  <c r="DA8" i="1"/>
  <c r="CC16" i="1"/>
  <c r="AV5" i="1"/>
  <c r="AZ5" i="1" s="1"/>
  <c r="HT5" i="1"/>
  <c r="CN15" i="1"/>
  <c r="CQ15" i="1"/>
  <c r="EL23" i="1" l="1"/>
  <c r="EN23" i="1" s="1"/>
  <c r="G28" i="73"/>
  <c r="EL16" i="1"/>
  <c r="EM16" i="1" s="1"/>
  <c r="AM26" i="73" s="1"/>
  <c r="G26" i="73"/>
  <c r="EL11" i="1"/>
  <c r="G19" i="73"/>
  <c r="EL10" i="1"/>
  <c r="G18" i="73"/>
  <c r="EL24" i="1"/>
  <c r="EM24" i="1" s="1"/>
  <c r="AM29" i="73" s="1"/>
  <c r="G29" i="73"/>
  <c r="EL12" i="1"/>
  <c r="G23" i="73"/>
  <c r="EL26" i="1"/>
  <c r="EN26" i="1" s="1"/>
  <c r="EQ26" i="1" s="1"/>
  <c r="ER26" i="1" s="1"/>
  <c r="G34" i="73"/>
  <c r="EX25" i="1"/>
  <c r="EZ25" i="1" s="1"/>
  <c r="EM25" i="1"/>
  <c r="EN16" i="1"/>
  <c r="EQ13" i="1"/>
  <c r="ER13" i="1" s="1"/>
  <c r="EV13" i="1" s="1"/>
  <c r="EW13" i="1" s="1"/>
  <c r="FB22" i="1"/>
  <c r="FB27" i="1" s="1"/>
  <c r="FE22" i="1"/>
  <c r="FE27" i="1" s="1"/>
  <c r="EG27" i="1"/>
  <c r="EI22" i="1"/>
  <c r="FG22" i="1"/>
  <c r="EP22" i="1"/>
  <c r="EP27" i="1" s="1"/>
  <c r="FD22" i="1"/>
  <c r="EF7" i="1"/>
  <c r="EC28" i="1"/>
  <c r="EC19" i="1"/>
  <c r="EN12" i="1"/>
  <c r="EM12" i="1"/>
  <c r="AM23" i="73" s="1"/>
  <c r="EQ9" i="1"/>
  <c r="ER9" i="1" s="1"/>
  <c r="ES9" i="1" s="1"/>
  <c r="EN24" i="1"/>
  <c r="FD5" i="1"/>
  <c r="FB5" i="1"/>
  <c r="EI5" i="1"/>
  <c r="FG5" i="1"/>
  <c r="FE5" i="1"/>
  <c r="EF21" i="1"/>
  <c r="EG20" i="1"/>
  <c r="EM23" i="1"/>
  <c r="AM28" i="73" s="1"/>
  <c r="EQ6" i="1"/>
  <c r="ER6" i="1" s="1"/>
  <c r="EV6" i="1" s="1"/>
  <c r="G25" i="72"/>
  <c r="U25" i="72" s="1"/>
  <c r="AQ25" i="73"/>
  <c r="K27" i="73"/>
  <c r="K30" i="73" s="1"/>
  <c r="K30" i="49"/>
  <c r="E13" i="72"/>
  <c r="BJ9" i="1"/>
  <c r="Q25" i="73"/>
  <c r="E26" i="72"/>
  <c r="Q26" i="72" s="1"/>
  <c r="E15" i="72"/>
  <c r="M10" i="59"/>
  <c r="O10" i="59" s="1"/>
  <c r="AC17" i="59"/>
  <c r="M17" i="59"/>
  <c r="O17" i="59" s="1"/>
  <c r="E10" i="72"/>
  <c r="GQ7" i="1"/>
  <c r="Q33" i="73"/>
  <c r="E24" i="72"/>
  <c r="O13" i="73"/>
  <c r="K15" i="73"/>
  <c r="M12" i="59"/>
  <c r="O12" i="59" s="1"/>
  <c r="U12" i="59" s="1"/>
  <c r="E14" i="72"/>
  <c r="BM25" i="1"/>
  <c r="AQ25" i="72"/>
  <c r="BM16" i="1"/>
  <c r="HI6" i="1"/>
  <c r="BM18" i="1"/>
  <c r="BJ8" i="1"/>
  <c r="HN22" i="1"/>
  <c r="HL23" i="1"/>
  <c r="GW23" i="1"/>
  <c r="HI23" i="1"/>
  <c r="HN23" i="1" s="1"/>
  <c r="HB23" i="1" s="1"/>
  <c r="GQ20" i="1"/>
  <c r="GQ21" i="1" s="1"/>
  <c r="BJ12" i="1"/>
  <c r="HM11" i="1"/>
  <c r="BJ11" i="1"/>
  <c r="BM11" i="1"/>
  <c r="BM6" i="1"/>
  <c r="BM24" i="1"/>
  <c r="HL6" i="1"/>
  <c r="GW6" i="1"/>
  <c r="GX6" i="1" s="1"/>
  <c r="HK6" i="1"/>
  <c r="BJ18" i="1"/>
  <c r="II15" i="1"/>
  <c r="BM13" i="1"/>
  <c r="BJ22" i="1"/>
  <c r="BH27" i="1"/>
  <c r="BM15" i="1"/>
  <c r="BJ24" i="1"/>
  <c r="BL19" i="1"/>
  <c r="BM10" i="1"/>
  <c r="BI19" i="1"/>
  <c r="BJ6" i="1"/>
  <c r="BJ10" i="1"/>
  <c r="BJ16" i="1"/>
  <c r="BM8" i="1"/>
  <c r="BL23" i="1"/>
  <c r="BM23" i="1" s="1"/>
  <c r="BI23" i="1"/>
  <c r="BJ23" i="1" s="1"/>
  <c r="BM12" i="1"/>
  <c r="BJ13" i="1"/>
  <c r="BM5" i="1"/>
  <c r="BI26" i="1"/>
  <c r="BJ26" i="1" s="1"/>
  <c r="BL26" i="1"/>
  <c r="BM26" i="1" s="1"/>
  <c r="BJ5" i="1"/>
  <c r="BM9" i="1"/>
  <c r="BM22" i="1"/>
  <c r="BK27" i="1"/>
  <c r="BJ15" i="1"/>
  <c r="M13" i="9"/>
  <c r="C41" i="69" s="1"/>
  <c r="T13" i="9"/>
  <c r="HL8" i="1"/>
  <c r="GW8" i="1"/>
  <c r="MP8" i="1" s="1"/>
  <c r="HK8" i="1"/>
  <c r="DB11" i="1"/>
  <c r="G12" i="72" s="1"/>
  <c r="U12" i="72" s="1"/>
  <c r="GF25" i="1"/>
  <c r="CU7" i="1"/>
  <c r="CX7" i="1" s="1"/>
  <c r="GI9" i="1"/>
  <c r="GH9" i="1"/>
  <c r="GM14" i="1"/>
  <c r="GN14" i="1" s="1"/>
  <c r="GF9" i="1"/>
  <c r="FR9" i="1"/>
  <c r="FS9" i="1" s="1"/>
  <c r="CN23" i="1"/>
  <c r="HL17" i="1"/>
  <c r="GM12" i="1"/>
  <c r="GN12" i="1" s="1"/>
  <c r="BG27" i="1"/>
  <c r="HJ26" i="1"/>
  <c r="HM26" i="1" s="1"/>
  <c r="GI25" i="1"/>
  <c r="GK25" i="1" s="1"/>
  <c r="HK17" i="1"/>
  <c r="GW17" i="1"/>
  <c r="GX17" i="1" s="1"/>
  <c r="FR25" i="1"/>
  <c r="FX25" i="1" s="1"/>
  <c r="HI17" i="1"/>
  <c r="HE19" i="1"/>
  <c r="CX20" i="1"/>
  <c r="CU21" i="1"/>
  <c r="CY22" i="1"/>
  <c r="DV22" i="1" s="1"/>
  <c r="CX27" i="1"/>
  <c r="BP7" i="1"/>
  <c r="BS7" i="1" s="1"/>
  <c r="BT7" i="1" s="1"/>
  <c r="K27" i="72"/>
  <c r="K30" i="72" s="1"/>
  <c r="HO15" i="1"/>
  <c r="I106" i="9"/>
  <c r="K106" i="9"/>
  <c r="P106" i="9"/>
  <c r="S35" i="72"/>
  <c r="S25" i="72"/>
  <c r="DB25" i="1"/>
  <c r="E33" i="72"/>
  <c r="Q33" i="72" s="1"/>
  <c r="S106" i="9"/>
  <c r="C106" i="9"/>
  <c r="F106" i="9"/>
  <c r="Q106" i="9"/>
  <c r="G106" i="9"/>
  <c r="B106" i="9"/>
  <c r="K22" i="69"/>
  <c r="K27" i="69" s="1"/>
  <c r="K35" i="69" s="1"/>
  <c r="K15" i="72"/>
  <c r="O106" i="9"/>
  <c r="H106" i="9"/>
  <c r="GL26" i="1"/>
  <c r="GA22" i="1"/>
  <c r="O32" i="69"/>
  <c r="Q32" i="69"/>
  <c r="Q33" i="69" s="1"/>
  <c r="E20" i="69"/>
  <c r="GJ20" i="1"/>
  <c r="GJ21" i="1" s="1"/>
  <c r="GM20" i="1"/>
  <c r="GM21" i="1" s="1"/>
  <c r="Y27" i="69"/>
  <c r="MP10" i="1"/>
  <c r="E14" i="69"/>
  <c r="GX23" i="1"/>
  <c r="G25" i="69" s="1"/>
  <c r="U25" i="69" s="1"/>
  <c r="E25" i="69"/>
  <c r="HM16" i="1"/>
  <c r="GM11" i="1"/>
  <c r="GX22" i="1"/>
  <c r="G24" i="69" s="1"/>
  <c r="U24" i="69" s="1"/>
  <c r="E24" i="69"/>
  <c r="W31" i="69"/>
  <c r="GX12" i="1"/>
  <c r="E16" i="69"/>
  <c r="MQ14" i="1"/>
  <c r="NF14" i="1" s="1"/>
  <c r="NH14" i="1" s="1"/>
  <c r="NZ14" i="1" s="1"/>
  <c r="G18" i="69"/>
  <c r="U18" i="69" s="1"/>
  <c r="AF33" i="69"/>
  <c r="J92" i="9"/>
  <c r="G92" i="9"/>
  <c r="Q79" i="9"/>
  <c r="P79" i="9"/>
  <c r="H79" i="9"/>
  <c r="I79" i="9"/>
  <c r="F79" i="9"/>
  <c r="B79" i="9"/>
  <c r="K79" i="9"/>
  <c r="N79" i="9"/>
  <c r="O79" i="9"/>
  <c r="E79" i="9"/>
  <c r="J79" i="9"/>
  <c r="G79" i="9"/>
  <c r="D79" i="9"/>
  <c r="N63" i="9"/>
  <c r="F63" i="9"/>
  <c r="E63" i="9"/>
  <c r="S63" i="9"/>
  <c r="D63" i="9"/>
  <c r="J63" i="9"/>
  <c r="I63" i="9"/>
  <c r="B63" i="9"/>
  <c r="B64" i="9" s="1"/>
  <c r="C63" i="9"/>
  <c r="O63" i="9"/>
  <c r="Q63" i="9"/>
  <c r="G63" i="9"/>
  <c r="H63" i="9"/>
  <c r="P63" i="9"/>
  <c r="Q36" i="9"/>
  <c r="K36" i="9"/>
  <c r="O36" i="9"/>
  <c r="N36" i="9"/>
  <c r="N37" i="9" s="1"/>
  <c r="J36" i="9"/>
  <c r="D36" i="9"/>
  <c r="P36" i="9"/>
  <c r="C36" i="9"/>
  <c r="E36" i="9"/>
  <c r="H36" i="9"/>
  <c r="H37" i="9" s="1"/>
  <c r="S36" i="9"/>
  <c r="I36" i="9"/>
  <c r="G36" i="9"/>
  <c r="U24" i="9"/>
  <c r="T24" i="9"/>
  <c r="S79" i="9"/>
  <c r="U81" i="9"/>
  <c r="T81" i="9"/>
  <c r="K34" i="9"/>
  <c r="P34" i="9"/>
  <c r="Q34" i="9"/>
  <c r="C34" i="9"/>
  <c r="S34" i="9"/>
  <c r="D34" i="9"/>
  <c r="B34" i="9"/>
  <c r="H34" i="9"/>
  <c r="N34" i="9"/>
  <c r="G34" i="9"/>
  <c r="I34" i="9"/>
  <c r="J34" i="9"/>
  <c r="E34" i="9"/>
  <c r="O34" i="9"/>
  <c r="Q94" i="9"/>
  <c r="N94" i="9"/>
  <c r="D94" i="9"/>
  <c r="O94" i="9"/>
  <c r="K94" i="9"/>
  <c r="J94" i="9"/>
  <c r="S94" i="9"/>
  <c r="H94" i="9"/>
  <c r="P94" i="9"/>
  <c r="F94" i="9"/>
  <c r="I94" i="9"/>
  <c r="C94" i="9"/>
  <c r="E94" i="9"/>
  <c r="I61" i="9"/>
  <c r="S61" i="9"/>
  <c r="D61" i="9"/>
  <c r="N61" i="9"/>
  <c r="H61" i="9"/>
  <c r="C61" i="9"/>
  <c r="B61" i="9"/>
  <c r="E61" i="9"/>
  <c r="F61" i="9"/>
  <c r="Q61" i="9"/>
  <c r="J61" i="9"/>
  <c r="G61" i="9"/>
  <c r="O61" i="9"/>
  <c r="F34" i="9"/>
  <c r="T106" i="9"/>
  <c r="U106" i="9"/>
  <c r="G94" i="9"/>
  <c r="Q92" i="9"/>
  <c r="E92" i="9"/>
  <c r="H92" i="9"/>
  <c r="D92" i="9"/>
  <c r="N92" i="9"/>
  <c r="P92" i="9"/>
  <c r="K92" i="9"/>
  <c r="I92" i="9"/>
  <c r="O92" i="9"/>
  <c r="F92" i="9"/>
  <c r="C92" i="9"/>
  <c r="T22" i="9"/>
  <c r="U22" i="9"/>
  <c r="B36" i="9"/>
  <c r="B37" i="9" s="1"/>
  <c r="K61" i="9"/>
  <c r="B92" i="9"/>
  <c r="T104" i="9"/>
  <c r="U104" i="9"/>
  <c r="I37" i="49"/>
  <c r="D16" i="39" s="1"/>
  <c r="W27" i="49"/>
  <c r="C37" i="49"/>
  <c r="GH8" i="1"/>
  <c r="MP23" i="1"/>
  <c r="C43" i="49"/>
  <c r="U10" i="59"/>
  <c r="CQ24" i="1"/>
  <c r="CR24" i="1" s="1"/>
  <c r="Q35" i="49"/>
  <c r="Q37" i="49" s="1"/>
  <c r="GH11" i="1"/>
  <c r="GK11" i="1" s="1"/>
  <c r="GL11" i="1"/>
  <c r="GL25" i="1"/>
  <c r="GN25" i="1" s="1"/>
  <c r="CD22" i="1"/>
  <c r="CE22" i="1" s="1"/>
  <c r="DZ20" i="1"/>
  <c r="DZ21" i="1" s="1"/>
  <c r="DD14" i="1"/>
  <c r="G30" i="49"/>
  <c r="CB22" i="1"/>
  <c r="DC25" i="1"/>
  <c r="GY25" i="1"/>
  <c r="GZ25" i="1" s="1"/>
  <c r="FT25" i="1"/>
  <c r="CF9" i="1"/>
  <c r="FW22" i="1"/>
  <c r="K21" i="59"/>
  <c r="FR12" i="1"/>
  <c r="FS12" i="1" s="1"/>
  <c r="G15" i="59" s="1"/>
  <c r="GF12" i="1"/>
  <c r="GI12" i="1"/>
  <c r="GH12" i="1"/>
  <c r="GM13" i="1"/>
  <c r="GN13" i="1" s="1"/>
  <c r="GF11" i="1"/>
  <c r="CK27" i="1"/>
  <c r="CQ26" i="1"/>
  <c r="G18" i="49"/>
  <c r="DG25" i="1"/>
  <c r="FR11" i="1"/>
  <c r="E14" i="59" s="1"/>
  <c r="GI24" i="1"/>
  <c r="GF24" i="1"/>
  <c r="FR24" i="1"/>
  <c r="GH24" i="1"/>
  <c r="FW18" i="1"/>
  <c r="K19" i="59"/>
  <c r="K22" i="49"/>
  <c r="BW12" i="1"/>
  <c r="E16" i="49"/>
  <c r="BW17" i="1"/>
  <c r="E21" i="49"/>
  <c r="BW6" i="1"/>
  <c r="E10" i="49"/>
  <c r="FX5" i="1"/>
  <c r="E9" i="59"/>
  <c r="FX15" i="1"/>
  <c r="E28" i="59"/>
  <c r="FX18" i="1"/>
  <c r="E19" i="59"/>
  <c r="FX17" i="1"/>
  <c r="E18" i="59"/>
  <c r="BW24" i="1"/>
  <c r="E32" i="49"/>
  <c r="DW5" i="1"/>
  <c r="DA6" i="1"/>
  <c r="DM6" i="1"/>
  <c r="DA12" i="1"/>
  <c r="DV24" i="1"/>
  <c r="DA9" i="1"/>
  <c r="DM9" i="1"/>
  <c r="DM15" i="1"/>
  <c r="DM18" i="1"/>
  <c r="DG13" i="1"/>
  <c r="DG16" i="1"/>
  <c r="DW26" i="1"/>
  <c r="GW11" i="1"/>
  <c r="DM17" i="1"/>
  <c r="HO8" i="1"/>
  <c r="HB8" i="1" s="1"/>
  <c r="HM8" i="1"/>
  <c r="DX20" i="1"/>
  <c r="DX21" i="1" s="1"/>
  <c r="DA5" i="1"/>
  <c r="FO20" i="1"/>
  <c r="FO21" i="1" s="1"/>
  <c r="DZ8" i="1"/>
  <c r="DX8" i="1"/>
  <c r="DX5" i="1"/>
  <c r="DZ5" i="1"/>
  <c r="DZ12" i="1"/>
  <c r="DX12" i="1"/>
  <c r="GX10" i="1"/>
  <c r="DA24" i="1"/>
  <c r="DX10" i="1"/>
  <c r="DZ10" i="1"/>
  <c r="DZ11" i="1"/>
  <c r="DM11" i="1" s="1"/>
  <c r="DX11" i="1"/>
  <c r="DL11" i="1" s="1"/>
  <c r="DZ13" i="1"/>
  <c r="DX13" i="1"/>
  <c r="FS17" i="1"/>
  <c r="G18" i="59" s="1"/>
  <c r="DT5" i="1"/>
  <c r="HI11" i="1"/>
  <c r="DA26" i="1"/>
  <c r="Q34" i="73" s="1"/>
  <c r="DL17" i="1"/>
  <c r="DV26" i="1"/>
  <c r="DT26" i="1"/>
  <c r="CF10" i="1"/>
  <c r="DT24" i="1"/>
  <c r="DW24" i="1"/>
  <c r="GJ23" i="1"/>
  <c r="DL18" i="1"/>
  <c r="DT6" i="1"/>
  <c r="DV6" i="1"/>
  <c r="DW6" i="1"/>
  <c r="DW12" i="1"/>
  <c r="DV12" i="1"/>
  <c r="DT12" i="1"/>
  <c r="DT16" i="1"/>
  <c r="DM16" i="1"/>
  <c r="DW16" i="1"/>
  <c r="DV16" i="1"/>
  <c r="DT9" i="1"/>
  <c r="DV9" i="1"/>
  <c r="DW9" i="1"/>
  <c r="DT13" i="1"/>
  <c r="DV13" i="1"/>
  <c r="DW13" i="1"/>
  <c r="DV8" i="1"/>
  <c r="DL15" i="1"/>
  <c r="HN11" i="1"/>
  <c r="HB11" i="1" s="1"/>
  <c r="HL11" i="1"/>
  <c r="AO22" i="1"/>
  <c r="BA22" i="1" s="1"/>
  <c r="AP22" i="1"/>
  <c r="IM22" i="1"/>
  <c r="IN22" i="1" s="1"/>
  <c r="AG27" i="1"/>
  <c r="C63" i="10"/>
  <c r="E63" i="10" s="1"/>
  <c r="HO25" i="1"/>
  <c r="KS9" i="1"/>
  <c r="KT9" i="1" s="1"/>
  <c r="JZ14" i="1"/>
  <c r="KO14" i="1" s="1"/>
  <c r="KQ14" i="1" s="1"/>
  <c r="HL16" i="1"/>
  <c r="BV18" i="1"/>
  <c r="BV10" i="1"/>
  <c r="BV11" i="1"/>
  <c r="CM11" i="1"/>
  <c r="CO11" i="1" s="1"/>
  <c r="CR12" i="1"/>
  <c r="CF5" i="1"/>
  <c r="CF8" i="1"/>
  <c r="O23" i="49"/>
  <c r="JY12" i="1"/>
  <c r="GJ5" i="1"/>
  <c r="GM5" i="1"/>
  <c r="GN5" i="1" s="1"/>
  <c r="CO24" i="1"/>
  <c r="HO22" i="1"/>
  <c r="HB22" i="1" s="1"/>
  <c r="HM22" i="1"/>
  <c r="HA22" i="1" s="1"/>
  <c r="HI16" i="1"/>
  <c r="FX8" i="1"/>
  <c r="FS8" i="1"/>
  <c r="G12" i="59" s="1"/>
  <c r="AC12" i="59" s="1"/>
  <c r="FO27" i="1"/>
  <c r="HO12" i="1"/>
  <c r="HB12" i="1" s="1"/>
  <c r="HM12" i="1"/>
  <c r="HA12" i="1" s="1"/>
  <c r="HN16" i="1"/>
  <c r="HB16" i="1" s="1"/>
  <c r="CO12" i="1"/>
  <c r="DZ24" i="1"/>
  <c r="DX24" i="1"/>
  <c r="CR22" i="1"/>
  <c r="GH5" i="1"/>
  <c r="U14" i="9"/>
  <c r="F17" i="9"/>
  <c r="F15" i="9"/>
  <c r="F112" i="9"/>
  <c r="JY23" i="1"/>
  <c r="BW23" i="1"/>
  <c r="GM24" i="1"/>
  <c r="GJ24" i="1"/>
  <c r="II23" i="1"/>
  <c r="IO23" i="1"/>
  <c r="IF23" i="1"/>
  <c r="IG23" i="1" s="1"/>
  <c r="FS5" i="1"/>
  <c r="G9" i="59" s="1"/>
  <c r="BB23" i="1"/>
  <c r="BA23" i="1"/>
  <c r="FS15" i="1"/>
  <c r="GM9" i="1"/>
  <c r="GN9" i="1" s="1"/>
  <c r="GJ9" i="1"/>
  <c r="HO13" i="1"/>
  <c r="HM13" i="1"/>
  <c r="GF10" i="1"/>
  <c r="GH10" i="1"/>
  <c r="FR10" i="1"/>
  <c r="E13" i="59" s="1"/>
  <c r="GI10" i="1"/>
  <c r="CR11" i="1"/>
  <c r="IM18" i="1"/>
  <c r="IN18" i="1" s="1"/>
  <c r="C75" i="10"/>
  <c r="E75" i="10"/>
  <c r="AH18" i="1"/>
  <c r="HR18" i="1" s="1"/>
  <c r="AP18" i="1"/>
  <c r="AO18" i="1"/>
  <c r="AG19" i="1"/>
  <c r="GG19" i="1"/>
  <c r="HM5" i="1"/>
  <c r="HO5" i="1"/>
  <c r="GJ10" i="1"/>
  <c r="GM10" i="1"/>
  <c r="HO18" i="1"/>
  <c r="HM18" i="1"/>
  <c r="GH16" i="1"/>
  <c r="GF16" i="1"/>
  <c r="FR16" i="1"/>
  <c r="E29" i="59" s="1"/>
  <c r="GI16" i="1"/>
  <c r="GH26" i="1"/>
  <c r="GF26" i="1"/>
  <c r="FR26" i="1"/>
  <c r="GI26" i="1"/>
  <c r="HK16" i="1"/>
  <c r="GM8" i="1"/>
  <c r="GN8" i="1" s="1"/>
  <c r="GJ8" i="1"/>
  <c r="IO13" i="1"/>
  <c r="IF13" i="1"/>
  <c r="II13" i="1"/>
  <c r="GF13" i="1"/>
  <c r="FR13" i="1"/>
  <c r="E16" i="59" s="1"/>
  <c r="GH13" i="1"/>
  <c r="GI13" i="1"/>
  <c r="HO20" i="1"/>
  <c r="HO21" i="1" s="1"/>
  <c r="HM20" i="1"/>
  <c r="HM21" i="1" s="1"/>
  <c r="DB15" i="1"/>
  <c r="BA13" i="1"/>
  <c r="BB13" i="1"/>
  <c r="HM17" i="1"/>
  <c r="HO17" i="1"/>
  <c r="HB17" i="1" s="1"/>
  <c r="HL13" i="1"/>
  <c r="GW13" i="1"/>
  <c r="HI13" i="1"/>
  <c r="HN13" i="1"/>
  <c r="HK13" i="1"/>
  <c r="HM10" i="1"/>
  <c r="HA10" i="1" s="1"/>
  <c r="HO10" i="1"/>
  <c r="HB10" i="1" s="1"/>
  <c r="GM15" i="1"/>
  <c r="GN15" i="1" s="1"/>
  <c r="GJ15" i="1"/>
  <c r="GK15" i="1" s="1"/>
  <c r="BA12" i="1"/>
  <c r="BB12" i="1"/>
  <c r="HR15" i="1"/>
  <c r="DX22" i="1"/>
  <c r="DZ22" i="1"/>
  <c r="CN19" i="1"/>
  <c r="BB14" i="1"/>
  <c r="BA14" i="1"/>
  <c r="BB11" i="1"/>
  <c r="BA11" i="1"/>
  <c r="AU20" i="1"/>
  <c r="BN20" i="1"/>
  <c r="BF20" i="1"/>
  <c r="BF21" i="1" s="1"/>
  <c r="MP16" i="1"/>
  <c r="DZ23" i="1"/>
  <c r="DX23" i="1"/>
  <c r="HO14" i="1"/>
  <c r="HM14" i="1"/>
  <c r="HJ19" i="1"/>
  <c r="GT15" i="1"/>
  <c r="MP12" i="1"/>
  <c r="GM16" i="1"/>
  <c r="GJ16" i="1"/>
  <c r="FS18" i="1"/>
  <c r="G19" i="59" s="1"/>
  <c r="BB15" i="1"/>
  <c r="HM6" i="1"/>
  <c r="HO6" i="1"/>
  <c r="HB6" i="1" s="1"/>
  <c r="DU27" i="1"/>
  <c r="BA15" i="1"/>
  <c r="GM22" i="1"/>
  <c r="GJ22" i="1"/>
  <c r="BV13" i="1"/>
  <c r="JY24" i="1"/>
  <c r="FX6" i="1"/>
  <c r="FS6" i="1"/>
  <c r="G10" i="59" s="1"/>
  <c r="AC10" i="59" s="1"/>
  <c r="GJ7" i="1"/>
  <c r="GM7" i="1"/>
  <c r="BV16" i="1"/>
  <c r="GJ17" i="1"/>
  <c r="GK17" i="1" s="1"/>
  <c r="GM17" i="1"/>
  <c r="GN17" i="1" s="1"/>
  <c r="DZ25" i="1"/>
  <c r="DM25" i="1" s="1"/>
  <c r="DX25" i="1"/>
  <c r="DL25" i="1" s="1"/>
  <c r="BV8" i="1"/>
  <c r="HO7" i="1"/>
  <c r="HM7" i="1"/>
  <c r="KS14" i="1"/>
  <c r="KT14" i="1" s="1"/>
  <c r="DU19" i="1"/>
  <c r="IO14" i="1"/>
  <c r="IF14" i="1"/>
  <c r="II14" i="1"/>
  <c r="DB18" i="1"/>
  <c r="IF12" i="1"/>
  <c r="IG12" i="1" s="1"/>
  <c r="IO12" i="1"/>
  <c r="II12" i="1"/>
  <c r="C66" i="10"/>
  <c r="C26" i="10" s="1"/>
  <c r="GX16" i="1"/>
  <c r="IO11" i="1"/>
  <c r="II11" i="1"/>
  <c r="IF11" i="1"/>
  <c r="II8" i="1"/>
  <c r="IO8" i="1"/>
  <c r="IF8" i="1"/>
  <c r="GM18" i="1"/>
  <c r="GN18" i="1" s="1"/>
  <c r="GJ18" i="1"/>
  <c r="GK18" i="1" s="1"/>
  <c r="GJ6" i="1"/>
  <c r="GK6" i="1" s="1"/>
  <c r="GM6" i="1"/>
  <c r="GN6" i="1" s="1"/>
  <c r="CQ19" i="1"/>
  <c r="FL7" i="1"/>
  <c r="AS19" i="1"/>
  <c r="BF7" i="1"/>
  <c r="BF19" i="1" s="1"/>
  <c r="AU7" i="1"/>
  <c r="BA8" i="1"/>
  <c r="BB8" i="1"/>
  <c r="CF11" i="1"/>
  <c r="IF5" i="1"/>
  <c r="II5" i="1"/>
  <c r="IO5" i="1"/>
  <c r="K75" i="10"/>
  <c r="KS18" i="1"/>
  <c r="KT18" i="1" s="1"/>
  <c r="DB8" i="1"/>
  <c r="GF23" i="1"/>
  <c r="GH23" i="1" s="1"/>
  <c r="FR23" i="1"/>
  <c r="E22" i="59" s="1"/>
  <c r="GI23" i="1"/>
  <c r="FP27" i="1"/>
  <c r="CP18" i="1"/>
  <c r="CR18" i="1" s="1"/>
  <c r="CL18" i="1"/>
  <c r="CM18" i="1"/>
  <c r="CJ18" i="1"/>
  <c r="AZ26" i="1"/>
  <c r="EK26" i="1" s="1"/>
  <c r="I82" i="10" s="1"/>
  <c r="I16" i="10" s="1"/>
  <c r="CF13" i="1"/>
  <c r="KS13" i="1"/>
  <c r="KT13" i="1" s="1"/>
  <c r="JY6" i="1"/>
  <c r="BB10" i="1"/>
  <c r="BA10" i="1"/>
  <c r="DY10" i="1"/>
  <c r="HM24" i="1"/>
  <c r="HO24" i="1"/>
  <c r="IF26" i="1"/>
  <c r="IO26" i="1"/>
  <c r="II26" i="1"/>
  <c r="II24" i="1"/>
  <c r="IF24" i="1"/>
  <c r="IO24" i="1"/>
  <c r="GT5" i="1"/>
  <c r="GU5" i="1" s="1"/>
  <c r="BA9" i="1"/>
  <c r="BB9" i="1"/>
  <c r="IF22" i="1"/>
  <c r="II22" i="1"/>
  <c r="IO22" i="1"/>
  <c r="CF7" i="1"/>
  <c r="KS7" i="1"/>
  <c r="KT7" i="1" s="1"/>
  <c r="DB17" i="1"/>
  <c r="DB13" i="1"/>
  <c r="DB16" i="1"/>
  <c r="BA24" i="1"/>
  <c r="BB24" i="1"/>
  <c r="GF22" i="1"/>
  <c r="GI22" i="1"/>
  <c r="FR22" i="1"/>
  <c r="GH22" i="1"/>
  <c r="GT26" i="1"/>
  <c r="GQ27" i="1"/>
  <c r="IO18" i="1"/>
  <c r="II18" i="1"/>
  <c r="GT18" i="1"/>
  <c r="IF25" i="1"/>
  <c r="NC25" i="1" s="1"/>
  <c r="ND25" i="1" s="1"/>
  <c r="IO25" i="1"/>
  <c r="II25" i="1"/>
  <c r="JY22" i="1"/>
  <c r="CO6" i="1"/>
  <c r="MP22" i="1"/>
  <c r="IF17" i="1"/>
  <c r="IO17" i="1"/>
  <c r="II17" i="1"/>
  <c r="CP17" i="1"/>
  <c r="CM17" i="1"/>
  <c r="CJ17" i="1"/>
  <c r="CL17" i="1"/>
  <c r="II16" i="1"/>
  <c r="IO16" i="1"/>
  <c r="IF16" i="1"/>
  <c r="HI25" i="1"/>
  <c r="HK25" i="1"/>
  <c r="GW25" i="1"/>
  <c r="HN25" i="1"/>
  <c r="HL25" i="1"/>
  <c r="BV5" i="1"/>
  <c r="CO23" i="1"/>
  <c r="CN27" i="1"/>
  <c r="BB17" i="1"/>
  <c r="BA17" i="1"/>
  <c r="BA25" i="1"/>
  <c r="BB25" i="1"/>
  <c r="CP10" i="1"/>
  <c r="CR10" i="1" s="1"/>
  <c r="CJ10" i="1"/>
  <c r="CM10" i="1"/>
  <c r="CL10" i="1"/>
  <c r="HI24" i="1"/>
  <c r="HK24" i="1"/>
  <c r="HN24" i="1"/>
  <c r="GW24" i="1"/>
  <c r="HL24" i="1"/>
  <c r="HI9" i="1"/>
  <c r="HL9" i="1"/>
  <c r="HK9" i="1"/>
  <c r="GW9" i="1"/>
  <c r="HN9" i="1"/>
  <c r="HB9" i="1" s="1"/>
  <c r="CR6" i="1"/>
  <c r="IF6" i="1"/>
  <c r="II6" i="1"/>
  <c r="IO6" i="1"/>
  <c r="BA5" i="1"/>
  <c r="BB5" i="1"/>
  <c r="CR23" i="1"/>
  <c r="BA16" i="1"/>
  <c r="BB16" i="1"/>
  <c r="II9" i="1"/>
  <c r="IF9" i="1"/>
  <c r="IO9" i="1"/>
  <c r="KS17" i="1"/>
  <c r="KT17" i="1" s="1"/>
  <c r="BY6" i="1"/>
  <c r="IF10" i="1"/>
  <c r="IO10" i="1"/>
  <c r="II10" i="1"/>
  <c r="BB6" i="1"/>
  <c r="BA6" i="1"/>
  <c r="U13" i="9" l="1"/>
  <c r="EY26" i="1"/>
  <c r="EV26" i="1"/>
  <c r="EW26" i="1" s="1"/>
  <c r="EX26" i="1" s="1"/>
  <c r="EZ26" i="1" s="1"/>
  <c r="EN10" i="1"/>
  <c r="EM10" i="1"/>
  <c r="AM18" i="73" s="1"/>
  <c r="M18" i="73" s="1"/>
  <c r="O18" i="73" s="1"/>
  <c r="HK23" i="1"/>
  <c r="ES26" i="1"/>
  <c r="EJ22" i="1"/>
  <c r="G27" i="73" s="1"/>
  <c r="E27" i="73"/>
  <c r="E9" i="73"/>
  <c r="EM11" i="1"/>
  <c r="AM19" i="73" s="1"/>
  <c r="M19" i="73" s="1"/>
  <c r="O19" i="73" s="1"/>
  <c r="EN11" i="1"/>
  <c r="K37" i="73"/>
  <c r="EY13" i="1"/>
  <c r="ES13" i="1"/>
  <c r="EW6" i="1"/>
  <c r="EX6" i="1" s="1"/>
  <c r="EM26" i="1"/>
  <c r="MP6" i="1"/>
  <c r="S25" i="73"/>
  <c r="EY9" i="1"/>
  <c r="FG27" i="1"/>
  <c r="EU22" i="1"/>
  <c r="EU27" i="1" s="1"/>
  <c r="AO25" i="73"/>
  <c r="U25" i="73"/>
  <c r="EY6" i="1"/>
  <c r="EQ12" i="1"/>
  <c r="ER12" i="1" s="1"/>
  <c r="EY12" i="1" s="1"/>
  <c r="ES12" i="1"/>
  <c r="EG21" i="1"/>
  <c r="FB20" i="1"/>
  <c r="FB21" i="1" s="1"/>
  <c r="EI20" i="1"/>
  <c r="E14" i="73" s="1"/>
  <c r="FG20" i="1"/>
  <c r="FE20" i="1"/>
  <c r="FE21" i="1" s="1"/>
  <c r="ET5" i="1"/>
  <c r="ES6" i="1"/>
  <c r="EQ16" i="1"/>
  <c r="ER16" i="1" s="1"/>
  <c r="ES16" i="1" s="1"/>
  <c r="GT20" i="1"/>
  <c r="GT21" i="1" s="1"/>
  <c r="EU5" i="1"/>
  <c r="EQ24" i="1"/>
  <c r="ER24" i="1" s="1"/>
  <c r="ES24" i="1" s="1"/>
  <c r="EV9" i="1"/>
  <c r="EG7" i="1"/>
  <c r="EF19" i="1"/>
  <c r="EF28" i="1" s="1"/>
  <c r="EK27" i="1"/>
  <c r="EK28" i="1" s="1"/>
  <c r="EI27" i="1"/>
  <c r="EO22" i="1"/>
  <c r="EO27" i="1" s="1"/>
  <c r="EQ23" i="1"/>
  <c r="ER23" i="1" s="1"/>
  <c r="EJ5" i="1"/>
  <c r="ET22" i="1"/>
  <c r="ET27" i="1" s="1"/>
  <c r="FD27" i="1"/>
  <c r="EX13" i="1"/>
  <c r="G13" i="72"/>
  <c r="AQ13" i="72" s="1"/>
  <c r="AQ11" i="73"/>
  <c r="Q35" i="73"/>
  <c r="Q11" i="73"/>
  <c r="AF25" i="69"/>
  <c r="AQ12" i="72"/>
  <c r="K35" i="49"/>
  <c r="O30" i="49"/>
  <c r="AF24" i="69"/>
  <c r="E29" i="72"/>
  <c r="Q29" i="72" s="1"/>
  <c r="Q23" i="73"/>
  <c r="AC19" i="59"/>
  <c r="M19" i="59"/>
  <c r="Q24" i="72"/>
  <c r="Q24" i="73"/>
  <c r="E35" i="73"/>
  <c r="E9" i="72"/>
  <c r="M22" i="59"/>
  <c r="Q20" i="73"/>
  <c r="M28" i="59"/>
  <c r="G26" i="72"/>
  <c r="AQ26" i="72" s="1"/>
  <c r="S26" i="73"/>
  <c r="G24" i="72"/>
  <c r="U24" i="72" s="1"/>
  <c r="AO24" i="73"/>
  <c r="M14" i="59"/>
  <c r="O15" i="73"/>
  <c r="G14" i="72"/>
  <c r="AQ14" i="72" s="1"/>
  <c r="AQ12" i="73"/>
  <c r="G10" i="72"/>
  <c r="AQ10" i="73"/>
  <c r="U10" i="73" s="1"/>
  <c r="M29" i="59"/>
  <c r="AC9" i="59"/>
  <c r="M9" i="59"/>
  <c r="Q13" i="73"/>
  <c r="AK13" i="73" s="1"/>
  <c r="G33" i="72"/>
  <c r="G35" i="72" s="1"/>
  <c r="AF18" i="69"/>
  <c r="G15" i="72"/>
  <c r="U15" i="72" s="1"/>
  <c r="AQ13" i="73"/>
  <c r="Q10" i="73"/>
  <c r="AA34" i="73"/>
  <c r="W34" i="73"/>
  <c r="AC34" i="73" s="1"/>
  <c r="AG34" i="73" s="1"/>
  <c r="E22" i="72"/>
  <c r="Q22" i="72" s="1"/>
  <c r="AC18" i="59"/>
  <c r="M18" i="59"/>
  <c r="Q12" i="73"/>
  <c r="U26" i="73"/>
  <c r="Q26" i="73"/>
  <c r="AO26" i="73"/>
  <c r="AQ26" i="73"/>
  <c r="M16" i="59"/>
  <c r="M13" i="59"/>
  <c r="Q19" i="73"/>
  <c r="U19" i="73"/>
  <c r="AQ19" i="73"/>
  <c r="AO19" i="73"/>
  <c r="HA23" i="1"/>
  <c r="IF15" i="1"/>
  <c r="E10" i="69"/>
  <c r="HA6" i="1"/>
  <c r="HA11" i="1"/>
  <c r="HA8" i="1"/>
  <c r="BL27" i="1"/>
  <c r="BL28" i="1" s="1"/>
  <c r="MP17" i="1"/>
  <c r="BI27" i="1"/>
  <c r="BI28" i="1" s="1"/>
  <c r="BM27" i="1"/>
  <c r="BC6" i="1"/>
  <c r="BD6" i="1"/>
  <c r="BC5" i="1"/>
  <c r="BD13" i="1"/>
  <c r="BD23" i="1"/>
  <c r="BC22" i="1"/>
  <c r="BC13" i="1"/>
  <c r="BK20" i="1"/>
  <c r="BH20" i="1"/>
  <c r="BD25" i="1"/>
  <c r="BC16" i="1"/>
  <c r="BC11" i="1"/>
  <c r="BD16" i="1"/>
  <c r="BD8" i="1"/>
  <c r="BD15" i="1"/>
  <c r="BD11" i="1"/>
  <c r="BC8" i="1"/>
  <c r="BC14" i="1"/>
  <c r="BC25" i="1"/>
  <c r="BC17" i="1"/>
  <c r="BD24" i="1"/>
  <c r="BC9" i="1"/>
  <c r="BC10" i="1"/>
  <c r="BH7" i="1"/>
  <c r="BK7" i="1"/>
  <c r="BC15" i="1"/>
  <c r="BD14" i="1"/>
  <c r="BD12" i="1"/>
  <c r="BD9" i="1"/>
  <c r="BD5" i="1"/>
  <c r="BD17" i="1"/>
  <c r="BC24" i="1"/>
  <c r="BD10" i="1"/>
  <c r="BC12" i="1"/>
  <c r="BC23" i="1"/>
  <c r="BJ27" i="1"/>
  <c r="E12" i="69"/>
  <c r="GX8" i="1"/>
  <c r="G12" i="69" s="1"/>
  <c r="U12" i="69" s="1"/>
  <c r="DT22" i="1"/>
  <c r="DW22" i="1"/>
  <c r="DL22" i="1" s="1"/>
  <c r="DA22" i="1"/>
  <c r="DB22" i="1" s="1"/>
  <c r="M14" i="69"/>
  <c r="M18" i="69"/>
  <c r="NW14" i="1"/>
  <c r="GK9" i="1"/>
  <c r="MQ22" i="1"/>
  <c r="NF22" i="1" s="1"/>
  <c r="NH22" i="1" s="1"/>
  <c r="OG22" i="1" s="1"/>
  <c r="M20" i="69"/>
  <c r="HJ27" i="1"/>
  <c r="E27" i="59"/>
  <c r="HO26" i="1"/>
  <c r="HO27" i="1" s="1"/>
  <c r="FX9" i="1"/>
  <c r="CU19" i="1"/>
  <c r="CU28" i="1" s="1"/>
  <c r="DB9" i="1"/>
  <c r="DD9" i="1" s="1"/>
  <c r="G21" i="69"/>
  <c r="U21" i="69" s="1"/>
  <c r="MQ17" i="1"/>
  <c r="NF17" i="1" s="1"/>
  <c r="NH17" i="1" s="1"/>
  <c r="NV17" i="1" s="1"/>
  <c r="E21" i="69"/>
  <c r="DD25" i="1"/>
  <c r="DF25" i="1" s="1"/>
  <c r="HA17" i="1"/>
  <c r="JZ6" i="1"/>
  <c r="KL6" i="1" s="1"/>
  <c r="E33" i="59"/>
  <c r="M33" i="59" s="1"/>
  <c r="FS25" i="1"/>
  <c r="G33" i="59" s="1"/>
  <c r="CY7" i="1"/>
  <c r="CX19" i="1"/>
  <c r="CY27" i="1"/>
  <c r="DY22" i="1"/>
  <c r="DM22" i="1" s="1"/>
  <c r="CY20" i="1"/>
  <c r="DW20" i="1" s="1"/>
  <c r="DW21" i="1" s="1"/>
  <c r="CX21" i="1"/>
  <c r="OA14" i="1"/>
  <c r="OJ14" i="1"/>
  <c r="NY14" i="1"/>
  <c r="OC14" i="1"/>
  <c r="OQ14" i="1"/>
  <c r="OP14" i="1"/>
  <c r="OK14" i="1"/>
  <c r="OB14" i="1"/>
  <c r="NL14" i="1"/>
  <c r="OI14" i="1"/>
  <c r="OG14" i="1"/>
  <c r="OO14" i="1"/>
  <c r="OE14" i="1"/>
  <c r="OS14" i="1"/>
  <c r="GN11" i="1"/>
  <c r="OT14" i="1"/>
  <c r="OM14" i="1"/>
  <c r="OD14" i="1"/>
  <c r="ON14" i="1"/>
  <c r="OH14" i="1"/>
  <c r="CQ27" i="1"/>
  <c r="OL14" i="1"/>
  <c r="OF14" i="1"/>
  <c r="NX14" i="1"/>
  <c r="OR14" i="1"/>
  <c r="E34" i="72"/>
  <c r="E23" i="72"/>
  <c r="U14" i="72"/>
  <c r="O15" i="72"/>
  <c r="K17" i="72"/>
  <c r="K37" i="72" s="1"/>
  <c r="DB6" i="1"/>
  <c r="E20" i="72"/>
  <c r="U13" i="72"/>
  <c r="U26" i="72"/>
  <c r="S24" i="72"/>
  <c r="Q24" i="69"/>
  <c r="M16" i="69"/>
  <c r="MQ23" i="1"/>
  <c r="NF23" i="1" s="1"/>
  <c r="NH23" i="1" s="1"/>
  <c r="OC23" i="1" s="1"/>
  <c r="Q25" i="69"/>
  <c r="Q18" i="69"/>
  <c r="HB25" i="1"/>
  <c r="E13" i="69"/>
  <c r="S32" i="69"/>
  <c r="M24" i="69"/>
  <c r="GX11" i="1"/>
  <c r="G15" i="69" s="1"/>
  <c r="U15" i="69" s="1"/>
  <c r="E15" i="69"/>
  <c r="AF15" i="69" s="1"/>
  <c r="O33" i="69"/>
  <c r="O35" i="69" s="1"/>
  <c r="GX25" i="1"/>
  <c r="E31" i="69"/>
  <c r="GX24" i="1"/>
  <c r="E26" i="69"/>
  <c r="GX13" i="1"/>
  <c r="E17" i="69"/>
  <c r="M25" i="69"/>
  <c r="MQ8" i="1"/>
  <c r="NF8" i="1" s="1"/>
  <c r="NH8" i="1" s="1"/>
  <c r="MQ16" i="1"/>
  <c r="NF16" i="1" s="1"/>
  <c r="NH16" i="1" s="1"/>
  <c r="OL16" i="1" s="1"/>
  <c r="G20" i="69"/>
  <c r="Q20" i="69" s="1"/>
  <c r="MQ10" i="1"/>
  <c r="NF10" i="1" s="1"/>
  <c r="NH10" i="1" s="1"/>
  <c r="OK10" i="1" s="1"/>
  <c r="G14" i="69"/>
  <c r="U14" i="69" s="1"/>
  <c r="MQ12" i="1"/>
  <c r="NF12" i="1" s="1"/>
  <c r="NH12" i="1" s="1"/>
  <c r="G16" i="69"/>
  <c r="U16" i="69" s="1"/>
  <c r="MQ6" i="1"/>
  <c r="NF6" i="1" s="1"/>
  <c r="NH6" i="1" s="1"/>
  <c r="G10" i="69"/>
  <c r="U10" i="69" s="1"/>
  <c r="T36" i="9"/>
  <c r="U36" i="9"/>
  <c r="O28" i="59"/>
  <c r="U92" i="9"/>
  <c r="T92" i="9"/>
  <c r="T79" i="9"/>
  <c r="U79" i="9"/>
  <c r="U61" i="9"/>
  <c r="T61" i="9"/>
  <c r="U34" i="9"/>
  <c r="T34" i="9"/>
  <c r="T63" i="9"/>
  <c r="U63" i="9"/>
  <c r="T94" i="9"/>
  <c r="U94" i="9"/>
  <c r="S18" i="49"/>
  <c r="S30" i="49"/>
  <c r="O29" i="59"/>
  <c r="U17" i="59"/>
  <c r="C72" i="10"/>
  <c r="C69" i="10" s="1"/>
  <c r="GK8" i="1"/>
  <c r="FS11" i="1"/>
  <c r="G14" i="59" s="1"/>
  <c r="AC14" i="59" s="1"/>
  <c r="FX11" i="1"/>
  <c r="M21" i="49"/>
  <c r="DB12" i="1"/>
  <c r="U23" i="73" s="1"/>
  <c r="C109" i="10"/>
  <c r="M16" i="49"/>
  <c r="FP20" i="1"/>
  <c r="GF20" i="1" s="1"/>
  <c r="GF21" i="1" s="1"/>
  <c r="M10" i="49"/>
  <c r="M18" i="49"/>
  <c r="G16" i="49"/>
  <c r="O18" i="59"/>
  <c r="U18" i="59" s="1"/>
  <c r="O13" i="59"/>
  <c r="U13" i="59" s="1"/>
  <c r="G10" i="49"/>
  <c r="O22" i="59"/>
  <c r="U22" i="59" s="1"/>
  <c r="O14" i="59"/>
  <c r="U14" i="59" s="1"/>
  <c r="G21" i="49"/>
  <c r="CG3" i="1"/>
  <c r="HF3" i="1"/>
  <c r="M54" i="49"/>
  <c r="U54" i="49" s="1"/>
  <c r="M53" i="49"/>
  <c r="U53" i="49" s="1"/>
  <c r="NJ25" i="1"/>
  <c r="NK25" i="1" s="1"/>
  <c r="DD6" i="1"/>
  <c r="DD16" i="1"/>
  <c r="DD13" i="1"/>
  <c r="DF14" i="1"/>
  <c r="DI14" i="1" s="1"/>
  <c r="DE14" i="1"/>
  <c r="GL23" i="1"/>
  <c r="DG12" i="1"/>
  <c r="DB26" i="1"/>
  <c r="DG6" i="1"/>
  <c r="G32" i="49"/>
  <c r="CB24" i="1"/>
  <c r="G31" i="49"/>
  <c r="CB23" i="1"/>
  <c r="MP11" i="1"/>
  <c r="DG9" i="1"/>
  <c r="GN24" i="1"/>
  <c r="G27" i="59"/>
  <c r="FU9" i="1"/>
  <c r="G28" i="59"/>
  <c r="AC28" i="59" s="1"/>
  <c r="FU15" i="1"/>
  <c r="GK12" i="1"/>
  <c r="FX12" i="1"/>
  <c r="E15" i="59"/>
  <c r="GK24" i="1"/>
  <c r="E23" i="59"/>
  <c r="FX24" i="1"/>
  <c r="FS24" i="1"/>
  <c r="G23" i="59" s="1"/>
  <c r="BW16" i="1"/>
  <c r="E20" i="49"/>
  <c r="FX22" i="1"/>
  <c r="E21" i="59"/>
  <c r="FX26" i="1"/>
  <c r="E34" i="59"/>
  <c r="M34" i="59" s="1"/>
  <c r="BW8" i="1"/>
  <c r="JZ8" i="1" s="1"/>
  <c r="KO8" i="1" s="1"/>
  <c r="KQ8" i="1" s="1"/>
  <c r="E12" i="49"/>
  <c r="BW13" i="1"/>
  <c r="JZ13" i="1" s="1"/>
  <c r="KO13" i="1" s="1"/>
  <c r="KQ13" i="1" s="1"/>
  <c r="E17" i="49"/>
  <c r="O16" i="59"/>
  <c r="U16" i="59" s="1"/>
  <c r="BW18" i="1"/>
  <c r="E22" i="49"/>
  <c r="K23" i="49"/>
  <c r="K37" i="49" s="1"/>
  <c r="BW5" i="1"/>
  <c r="E9" i="49"/>
  <c r="BW11" i="1"/>
  <c r="E15" i="49"/>
  <c r="K24" i="59"/>
  <c r="BW10" i="1"/>
  <c r="E14" i="49"/>
  <c r="HA16" i="1"/>
  <c r="DM8" i="1"/>
  <c r="DL8" i="1"/>
  <c r="DM13" i="1"/>
  <c r="DM12" i="1"/>
  <c r="DG24" i="1"/>
  <c r="DB24" i="1"/>
  <c r="DG26" i="1"/>
  <c r="DB5" i="1"/>
  <c r="DH20" i="1"/>
  <c r="DH21" i="1" s="1"/>
  <c r="DV5" i="1"/>
  <c r="DL5" i="1" s="1"/>
  <c r="DL24" i="1"/>
  <c r="DL16" i="1"/>
  <c r="GK5" i="1"/>
  <c r="GN16" i="1"/>
  <c r="AU21" i="1"/>
  <c r="DI25" i="1"/>
  <c r="AP19" i="1"/>
  <c r="AP27" i="1"/>
  <c r="FS23" i="1"/>
  <c r="G22" i="59" s="1"/>
  <c r="AC22" i="59" s="1"/>
  <c r="DL6" i="1"/>
  <c r="DM24" i="1"/>
  <c r="IF18" i="1"/>
  <c r="IG18" i="1" s="1"/>
  <c r="IK18" i="1" s="1"/>
  <c r="BB22" i="1"/>
  <c r="DL13" i="1"/>
  <c r="DL12" i="1"/>
  <c r="AH19" i="1"/>
  <c r="DL9" i="1"/>
  <c r="DM10" i="1"/>
  <c r="DW10" i="1"/>
  <c r="DV10" i="1"/>
  <c r="DT10" i="1"/>
  <c r="AO27" i="1"/>
  <c r="KU14" i="1"/>
  <c r="HB24" i="1"/>
  <c r="BV15" i="1"/>
  <c r="BP20" i="1"/>
  <c r="BP21" i="1" s="1"/>
  <c r="LY14" i="1"/>
  <c r="LF14" i="1"/>
  <c r="LP14" i="1"/>
  <c r="LI14" i="1"/>
  <c r="LM14" i="1"/>
  <c r="LN14" i="1"/>
  <c r="LH14" i="1"/>
  <c r="LG14" i="1"/>
  <c r="LJ14" i="1"/>
  <c r="LT14" i="1"/>
  <c r="LS14" i="1"/>
  <c r="LK14" i="1"/>
  <c r="LW14" i="1"/>
  <c r="LO14" i="1"/>
  <c r="LZ14" i="1"/>
  <c r="LQ14" i="1"/>
  <c r="LV14" i="1"/>
  <c r="MC14" i="1"/>
  <c r="LX14" i="1"/>
  <c r="LL14" i="1"/>
  <c r="LR14" i="1"/>
  <c r="MA14" i="1"/>
  <c r="MB14" i="1"/>
  <c r="LU14" i="1"/>
  <c r="GN22" i="1"/>
  <c r="JY11" i="1"/>
  <c r="IK23" i="1"/>
  <c r="JA23" i="1" s="1"/>
  <c r="BY23" i="1"/>
  <c r="CA23" i="1" s="1"/>
  <c r="JZ23" i="1"/>
  <c r="GK13" i="1"/>
  <c r="GN10" i="1"/>
  <c r="F115" i="9"/>
  <c r="U112" i="9"/>
  <c r="T112" i="9"/>
  <c r="F117" i="9"/>
  <c r="F123" i="9"/>
  <c r="F122" i="9"/>
  <c r="F113" i="9"/>
  <c r="T15" i="9"/>
  <c r="F16" i="9" s="1"/>
  <c r="U15" i="9"/>
  <c r="HA13" i="1"/>
  <c r="T17" i="9"/>
  <c r="F18" i="9" s="1"/>
  <c r="U17" i="9"/>
  <c r="HB13" i="1"/>
  <c r="IG13" i="1"/>
  <c r="IK13" i="1" s="1"/>
  <c r="GK10" i="1"/>
  <c r="FS10" i="1"/>
  <c r="G13" i="59" s="1"/>
  <c r="AC13" i="59" s="1"/>
  <c r="FX10" i="1"/>
  <c r="HA25" i="1"/>
  <c r="AO19" i="1"/>
  <c r="C79" i="10"/>
  <c r="BA18" i="1"/>
  <c r="GK16" i="1"/>
  <c r="FS13" i="1"/>
  <c r="G16" i="59" s="1"/>
  <c r="AC16" i="59" s="1"/>
  <c r="FX13" i="1"/>
  <c r="FS26" i="1"/>
  <c r="G34" i="59" s="1"/>
  <c r="FX16" i="1"/>
  <c r="FS16" i="1"/>
  <c r="E72" i="10"/>
  <c r="E79" i="10"/>
  <c r="BB18" i="1"/>
  <c r="MP13" i="1"/>
  <c r="GK22" i="1"/>
  <c r="IK12" i="1"/>
  <c r="FO7" i="1"/>
  <c r="FL19" i="1"/>
  <c r="IG14" i="1"/>
  <c r="IK14" i="1" s="1"/>
  <c r="DX26" i="1"/>
  <c r="DL26" i="1" s="1"/>
  <c r="DZ26" i="1"/>
  <c r="DM26" i="1" s="1"/>
  <c r="GW15" i="1"/>
  <c r="HN15" i="1"/>
  <c r="HB15" i="1" s="1"/>
  <c r="HL15" i="1"/>
  <c r="HI15" i="1"/>
  <c r="HK15" i="1"/>
  <c r="BP19" i="1"/>
  <c r="CF14" i="1"/>
  <c r="CM16" i="1"/>
  <c r="CL16" i="1"/>
  <c r="CP16" i="1"/>
  <c r="CR16" i="1" s="1"/>
  <c r="CJ16" i="1"/>
  <c r="DZ19" i="1"/>
  <c r="CM13" i="1"/>
  <c r="CP13" i="1"/>
  <c r="CR13" i="1" s="1"/>
  <c r="CL13" i="1"/>
  <c r="CJ13" i="1"/>
  <c r="GJ19" i="1"/>
  <c r="HA14" i="1"/>
  <c r="HM19" i="1"/>
  <c r="AV20" i="1"/>
  <c r="HT20" i="1"/>
  <c r="C94" i="10"/>
  <c r="AV7" i="1"/>
  <c r="AZ7" i="1" s="1"/>
  <c r="HT7" i="1"/>
  <c r="AU19" i="1"/>
  <c r="GJ26" i="1"/>
  <c r="GM26" i="1"/>
  <c r="GG27" i="1"/>
  <c r="HB14" i="1"/>
  <c r="HO19" i="1"/>
  <c r="IG11" i="1"/>
  <c r="IK11" i="1" s="1"/>
  <c r="DX19" i="1"/>
  <c r="IG15" i="1"/>
  <c r="IK15" i="1" s="1"/>
  <c r="IG8" i="1"/>
  <c r="IK8" i="1" s="1"/>
  <c r="CM8" i="1"/>
  <c r="CJ8" i="1"/>
  <c r="CP8" i="1" s="1"/>
  <c r="CR8" i="1" s="1"/>
  <c r="GM19" i="1"/>
  <c r="GK23" i="1"/>
  <c r="GH27" i="1"/>
  <c r="IG6" i="1"/>
  <c r="IK6" i="1" s="1"/>
  <c r="DA23" i="1"/>
  <c r="DT23" i="1"/>
  <c r="DY23" i="1" s="1"/>
  <c r="DW23" i="1"/>
  <c r="JZ17" i="1"/>
  <c r="KO17" i="1" s="1"/>
  <c r="KQ17" i="1" s="1"/>
  <c r="HA24" i="1"/>
  <c r="JY17" i="1"/>
  <c r="CR17" i="1"/>
  <c r="IG25" i="1"/>
  <c r="IK25" i="1" s="1"/>
  <c r="KU6" i="1"/>
  <c r="IG10" i="1"/>
  <c r="IK10" i="1" s="1"/>
  <c r="CM5" i="1"/>
  <c r="CJ5" i="1"/>
  <c r="CL5" i="1" s="1"/>
  <c r="GU18" i="1"/>
  <c r="IG26" i="1"/>
  <c r="IK26" i="1" s="1"/>
  <c r="NC26" i="1"/>
  <c r="CO18" i="1"/>
  <c r="BV9" i="1"/>
  <c r="MP25" i="1"/>
  <c r="IG17" i="1"/>
  <c r="IK17" i="1" s="1"/>
  <c r="FS22" i="1"/>
  <c r="G21" i="59" s="1"/>
  <c r="GI27" i="1"/>
  <c r="IG9" i="1"/>
  <c r="IK9" i="1" s="1"/>
  <c r="CF17" i="1"/>
  <c r="MP9" i="1"/>
  <c r="IG16" i="1"/>
  <c r="IK16" i="1" s="1"/>
  <c r="JZ22" i="1"/>
  <c r="KU22" i="1" s="1"/>
  <c r="BY22" i="1"/>
  <c r="CA22" i="1" s="1"/>
  <c r="IG22" i="1"/>
  <c r="IK22" i="1" s="1"/>
  <c r="HM27" i="1"/>
  <c r="K72" i="10"/>
  <c r="CF18" i="1"/>
  <c r="OH22" i="1"/>
  <c r="GU26" i="1"/>
  <c r="GT27" i="1"/>
  <c r="HA9" i="1"/>
  <c r="CO10" i="1"/>
  <c r="JY18" i="1"/>
  <c r="DC26" i="1"/>
  <c r="AZ27" i="1"/>
  <c r="GY26" i="1"/>
  <c r="FT26" i="1"/>
  <c r="BB26" i="1"/>
  <c r="BA26" i="1"/>
  <c r="FX23" i="1"/>
  <c r="FR27" i="1"/>
  <c r="DA20" i="1"/>
  <c r="DT20" i="1"/>
  <c r="DT21" i="1" s="1"/>
  <c r="CP15" i="1"/>
  <c r="CL15" i="1"/>
  <c r="CJ15" i="1"/>
  <c r="CM15" i="1"/>
  <c r="CO17" i="1"/>
  <c r="HL5" i="1"/>
  <c r="HI5" i="1"/>
  <c r="HN5" i="1" s="1"/>
  <c r="HB5" i="1" s="1"/>
  <c r="GW5" i="1"/>
  <c r="JY10" i="1"/>
  <c r="IG5" i="1"/>
  <c r="IK5" i="1" s="1"/>
  <c r="BZ6" i="1"/>
  <c r="GX9" i="1"/>
  <c r="MP24" i="1"/>
  <c r="CF16" i="1"/>
  <c r="KS16" i="1"/>
  <c r="KT16" i="1" s="1"/>
  <c r="BY12" i="1"/>
  <c r="CA12" i="1" s="1"/>
  <c r="JZ12" i="1"/>
  <c r="IG24" i="1"/>
  <c r="IK24" i="1" s="1"/>
  <c r="DA10" i="1"/>
  <c r="E11" i="72" s="1"/>
  <c r="GF27" i="1"/>
  <c r="EZ13" i="1" l="1"/>
  <c r="AI24" i="73" s="1"/>
  <c r="EV12" i="1"/>
  <c r="EW12" i="1" s="1"/>
  <c r="EJ27" i="1"/>
  <c r="EL22" i="1"/>
  <c r="EW9" i="1"/>
  <c r="EX9" i="1" s="1"/>
  <c r="EZ9" i="1" s="1"/>
  <c r="AI22" i="73" s="1"/>
  <c r="U30" i="49"/>
  <c r="G9" i="73"/>
  <c r="AQ9" i="73" s="1"/>
  <c r="GU20" i="1"/>
  <c r="GU21" i="1" s="1"/>
  <c r="FD20" i="1"/>
  <c r="W19" i="73"/>
  <c r="FG21" i="1"/>
  <c r="EU20" i="1"/>
  <c r="EU21" i="1" s="1"/>
  <c r="EO20" i="1"/>
  <c r="EI21" i="1"/>
  <c r="EZ6" i="1"/>
  <c r="AI20" i="73" s="1"/>
  <c r="EJ20" i="1"/>
  <c r="EV24" i="1"/>
  <c r="EW24" i="1" s="1"/>
  <c r="EX24" i="1" s="1"/>
  <c r="EN22" i="1"/>
  <c r="EL27" i="1"/>
  <c r="EM22" i="1"/>
  <c r="EO15" i="1"/>
  <c r="EO10" i="1"/>
  <c r="EO11" i="1"/>
  <c r="EO18" i="1"/>
  <c r="EO8" i="1"/>
  <c r="EO17" i="1"/>
  <c r="EY23" i="1"/>
  <c r="FB7" i="1"/>
  <c r="EI7" i="1"/>
  <c r="FG7" i="1"/>
  <c r="EP7" i="1"/>
  <c r="FE7" i="1"/>
  <c r="FD7" i="1"/>
  <c r="EG19" i="1"/>
  <c r="EG28" i="1" s="1"/>
  <c r="ES23" i="1"/>
  <c r="EV16" i="1"/>
  <c r="EW16" i="1" s="1"/>
  <c r="EX16" i="1" s="1"/>
  <c r="ET20" i="1"/>
  <c r="ET21" i="1" s="1"/>
  <c r="FD21" i="1"/>
  <c r="EV23" i="1"/>
  <c r="EW23" i="1" s="1"/>
  <c r="EX23" i="1" s="1"/>
  <c r="EZ23" i="1" s="1"/>
  <c r="AI28" i="73" s="1"/>
  <c r="EO5" i="1"/>
  <c r="EY24" i="1"/>
  <c r="EY16" i="1"/>
  <c r="EX12" i="1"/>
  <c r="EZ12" i="1" s="1"/>
  <c r="AI23" i="73" s="1"/>
  <c r="DG22" i="1"/>
  <c r="AQ23" i="73"/>
  <c r="U11" i="73"/>
  <c r="W11" i="73" s="1"/>
  <c r="AC11" i="73" s="1"/>
  <c r="DE25" i="1"/>
  <c r="AM33" i="72" s="1"/>
  <c r="AQ15" i="72"/>
  <c r="AK11" i="73"/>
  <c r="AQ10" i="72"/>
  <c r="U10" i="72" s="1"/>
  <c r="AF20" i="69"/>
  <c r="G27" i="72"/>
  <c r="M21" i="69"/>
  <c r="AF21" i="69"/>
  <c r="AK12" i="73"/>
  <c r="M15" i="59"/>
  <c r="AC15" i="59"/>
  <c r="U13" i="73"/>
  <c r="W13" i="73" s="1"/>
  <c r="AC13" i="73" s="1"/>
  <c r="S24" i="73"/>
  <c r="S23" i="73"/>
  <c r="M21" i="59"/>
  <c r="O21" i="59" s="1"/>
  <c r="U21" i="59" s="1"/>
  <c r="AC21" i="59"/>
  <c r="G22" i="72"/>
  <c r="AQ22" i="72" s="1"/>
  <c r="S22" i="73"/>
  <c r="M12" i="69"/>
  <c r="AF12" i="69"/>
  <c r="AF16" i="69"/>
  <c r="Q9" i="73"/>
  <c r="AO23" i="73"/>
  <c r="AC19" i="73"/>
  <c r="E28" i="72"/>
  <c r="Q28" i="72" s="1"/>
  <c r="G20" i="72"/>
  <c r="Q22" i="73"/>
  <c r="U22" i="73"/>
  <c r="AQ22" i="73"/>
  <c r="AO22" i="73"/>
  <c r="U24" i="73"/>
  <c r="AF14" i="69"/>
  <c r="Q29" i="73"/>
  <c r="E16" i="72"/>
  <c r="E17" i="72" s="1"/>
  <c r="E15" i="73"/>
  <c r="AM25" i="72"/>
  <c r="M25" i="72" s="1"/>
  <c r="O25" i="72" s="1"/>
  <c r="M25" i="73"/>
  <c r="O25" i="73" s="1"/>
  <c r="W25" i="73" s="1"/>
  <c r="DG17" i="1"/>
  <c r="U33" i="72"/>
  <c r="U35" i="72" s="1"/>
  <c r="AQ24" i="73"/>
  <c r="S26" i="72"/>
  <c r="AK19" i="73"/>
  <c r="U12" i="73"/>
  <c r="W12" i="73" s="1"/>
  <c r="AC12" i="73" s="1"/>
  <c r="G29" i="72"/>
  <c r="AQ29" i="72" s="1"/>
  <c r="U29" i="73"/>
  <c r="AK10" i="73"/>
  <c r="W10" i="73"/>
  <c r="AC10" i="73" s="1"/>
  <c r="G9" i="72"/>
  <c r="AQ9" i="72" s="1"/>
  <c r="U9" i="72" s="1"/>
  <c r="AC23" i="59"/>
  <c r="M23" i="59"/>
  <c r="AC27" i="59"/>
  <c r="M27" i="59"/>
  <c r="M30" i="59" s="1"/>
  <c r="E27" i="72"/>
  <c r="Q27" i="72" s="1"/>
  <c r="M10" i="69"/>
  <c r="AF10" i="69"/>
  <c r="G35" i="73"/>
  <c r="U33" i="73"/>
  <c r="U35" i="73" s="1"/>
  <c r="AO33" i="73"/>
  <c r="AQ24" i="72"/>
  <c r="AQ20" i="72"/>
  <c r="Q20" i="72"/>
  <c r="Q23" i="72"/>
  <c r="E35" i="72"/>
  <c r="Q34" i="72"/>
  <c r="OF22" i="1"/>
  <c r="OS22" i="1"/>
  <c r="OB22" i="1"/>
  <c r="OO22" i="1"/>
  <c r="OM22" i="1"/>
  <c r="OC22" i="1"/>
  <c r="OD22" i="1"/>
  <c r="OI22" i="1"/>
  <c r="NY22" i="1"/>
  <c r="OR22" i="1"/>
  <c r="NW22" i="1"/>
  <c r="OT22" i="1"/>
  <c r="OE22" i="1"/>
  <c r="ON22" i="1"/>
  <c r="NZ22" i="1"/>
  <c r="OJ22" i="1"/>
  <c r="OA22" i="1"/>
  <c r="NV22" i="1"/>
  <c r="NL22" i="1"/>
  <c r="NX22" i="1"/>
  <c r="OP22" i="1"/>
  <c r="OK22" i="1"/>
  <c r="OQ22" i="1"/>
  <c r="OL22" i="1"/>
  <c r="OA17" i="1"/>
  <c r="BD18" i="1"/>
  <c r="BD22" i="1"/>
  <c r="BC18" i="1"/>
  <c r="BM7" i="1"/>
  <c r="BK19" i="1"/>
  <c r="BJ7" i="1"/>
  <c r="BH19" i="1"/>
  <c r="BJ20" i="1"/>
  <c r="BJ21" i="1" s="1"/>
  <c r="BH21" i="1"/>
  <c r="BM20" i="1"/>
  <c r="BM21" i="1" s="1"/>
  <c r="BK21" i="1"/>
  <c r="OJ17" i="1"/>
  <c r="KO6" i="1"/>
  <c r="OL17" i="1"/>
  <c r="NZ17" i="1"/>
  <c r="OC17" i="1"/>
  <c r="OK17" i="1"/>
  <c r="OS17" i="1"/>
  <c r="S18" i="69"/>
  <c r="W18" i="69" s="1"/>
  <c r="AA18" i="69" s="1"/>
  <c r="OR17" i="1"/>
  <c r="OD17" i="1"/>
  <c r="OT17" i="1"/>
  <c r="OB17" i="1"/>
  <c r="NX17" i="1"/>
  <c r="OO17" i="1"/>
  <c r="OE17" i="1"/>
  <c r="OG17" i="1"/>
  <c r="OF17" i="1"/>
  <c r="BC26" i="1"/>
  <c r="BD26" i="1"/>
  <c r="Q21" i="69"/>
  <c r="E30" i="59"/>
  <c r="OC10" i="1"/>
  <c r="OE23" i="1"/>
  <c r="OK23" i="1"/>
  <c r="U22" i="72"/>
  <c r="S22" i="72"/>
  <c r="OP17" i="1"/>
  <c r="NW17" i="1"/>
  <c r="OQ17" i="1"/>
  <c r="HC25" i="1"/>
  <c r="OH17" i="1"/>
  <c r="OM17" i="1"/>
  <c r="ON17" i="1"/>
  <c r="OP23" i="1"/>
  <c r="NU23" i="1"/>
  <c r="OA23" i="1"/>
  <c r="NL17" i="1"/>
  <c r="OI17" i="1"/>
  <c r="NY17" i="1"/>
  <c r="OL23" i="1"/>
  <c r="OD10" i="1"/>
  <c r="OR10" i="1"/>
  <c r="OF10" i="1"/>
  <c r="OA10" i="1"/>
  <c r="NW10" i="1"/>
  <c r="NV10" i="1"/>
  <c r="NL10" i="1"/>
  <c r="NY10" i="1"/>
  <c r="OO10" i="1"/>
  <c r="NZ10" i="1"/>
  <c r="OB10" i="1"/>
  <c r="OM10" i="1"/>
  <c r="ON10" i="1"/>
  <c r="OE10" i="1"/>
  <c r="NX10" i="1"/>
  <c r="OJ10" i="1"/>
  <c r="OS10" i="1"/>
  <c r="OH10" i="1"/>
  <c r="OT10" i="1"/>
  <c r="OP10" i="1"/>
  <c r="OI10" i="1"/>
  <c r="OL10" i="1"/>
  <c r="NZ16" i="1"/>
  <c r="OT16" i="1"/>
  <c r="OA16" i="1"/>
  <c r="OF16" i="1"/>
  <c r="OS16" i="1"/>
  <c r="OH16" i="1"/>
  <c r="OI16" i="1"/>
  <c r="OB16" i="1"/>
  <c r="OM16" i="1"/>
  <c r="OJ16" i="1"/>
  <c r="OR16" i="1"/>
  <c r="OP16" i="1"/>
  <c r="OK16" i="1"/>
  <c r="OC16" i="1"/>
  <c r="OE16" i="1"/>
  <c r="ON16" i="1"/>
  <c r="NX16" i="1"/>
  <c r="NL16" i="1"/>
  <c r="OO16" i="1"/>
  <c r="OG16" i="1"/>
  <c r="NY16" i="1"/>
  <c r="OQ16" i="1"/>
  <c r="NW16" i="1"/>
  <c r="OD16" i="1"/>
  <c r="DG8" i="1"/>
  <c r="DI8" i="1" s="1"/>
  <c r="DJ8" i="1" s="1"/>
  <c r="DP8" i="1" s="1"/>
  <c r="FU25" i="1"/>
  <c r="Q33" i="59" s="1"/>
  <c r="MQ11" i="1"/>
  <c r="NF11" i="1" s="1"/>
  <c r="NH11" i="1" s="1"/>
  <c r="OM11" i="1" s="1"/>
  <c r="OG10" i="1"/>
  <c r="CX28" i="1"/>
  <c r="CY19" i="1"/>
  <c r="NM14" i="1"/>
  <c r="CY21" i="1"/>
  <c r="DY20" i="1"/>
  <c r="NZ23" i="1"/>
  <c r="ON23" i="1"/>
  <c r="OF23" i="1"/>
  <c r="JZ5" i="1"/>
  <c r="KO5" i="1" s="1"/>
  <c r="KQ5" i="1" s="1"/>
  <c r="LH5" i="1" s="1"/>
  <c r="NW23" i="1"/>
  <c r="OT23" i="1"/>
  <c r="OO23" i="1"/>
  <c r="OJ23" i="1"/>
  <c r="OH23" i="1"/>
  <c r="NY23" i="1"/>
  <c r="OB23" i="1"/>
  <c r="OM23" i="1"/>
  <c r="OD23" i="1"/>
  <c r="OI23" i="1"/>
  <c r="NN14" i="1"/>
  <c r="NV23" i="1"/>
  <c r="NX23" i="1"/>
  <c r="OG23" i="1"/>
  <c r="FR20" i="1"/>
  <c r="FS20" i="1" s="1"/>
  <c r="OS23" i="1"/>
  <c r="OR23" i="1"/>
  <c r="OQ23" i="1"/>
  <c r="NL23" i="1"/>
  <c r="U18" i="49"/>
  <c r="Y18" i="49" s="1"/>
  <c r="O17" i="72"/>
  <c r="G23" i="72"/>
  <c r="U23" i="72" s="1"/>
  <c r="U20" i="72"/>
  <c r="U29" i="72"/>
  <c r="S20" i="72"/>
  <c r="Q15" i="69"/>
  <c r="Q10" i="69"/>
  <c r="Q14" i="69"/>
  <c r="S14" i="69" s="1"/>
  <c r="W14" i="69" s="1"/>
  <c r="AA14" i="69" s="1"/>
  <c r="FU26" i="1"/>
  <c r="FV26" i="1" s="1"/>
  <c r="Q16" i="69"/>
  <c r="S16" i="69" s="1"/>
  <c r="W16" i="69" s="1"/>
  <c r="AA16" i="69" s="1"/>
  <c r="M13" i="69"/>
  <c r="O9" i="59"/>
  <c r="U9" i="59" s="1"/>
  <c r="O19" i="59"/>
  <c r="DG18" i="1"/>
  <c r="DI18" i="1" s="1"/>
  <c r="DJ18" i="1" s="1"/>
  <c r="DP18" i="1" s="1"/>
  <c r="HF14" i="1"/>
  <c r="HG14" i="1" s="1"/>
  <c r="AB18" i="69" s="1"/>
  <c r="HF17" i="1"/>
  <c r="HG17" i="1" s="1"/>
  <c r="AB21" i="69" s="1"/>
  <c r="HF23" i="1"/>
  <c r="HG23" i="1" s="1"/>
  <c r="HF8" i="1"/>
  <c r="HG8" i="1" s="1"/>
  <c r="HF22" i="1"/>
  <c r="HG22" i="1" s="1"/>
  <c r="HF6" i="1"/>
  <c r="HG6" i="1" s="1"/>
  <c r="HF10" i="1"/>
  <c r="HG10" i="1" s="1"/>
  <c r="HF12" i="1"/>
  <c r="HG12" i="1" s="1"/>
  <c r="HF16" i="1"/>
  <c r="HG16" i="1" s="1"/>
  <c r="HF13" i="1"/>
  <c r="HG13" i="1" s="1"/>
  <c r="OQ10" i="1"/>
  <c r="HF9" i="1"/>
  <c r="HG9" i="1" s="1"/>
  <c r="HF25" i="1"/>
  <c r="HF24" i="1"/>
  <c r="HG24" i="1" s="1"/>
  <c r="E19" i="69"/>
  <c r="HF11" i="1"/>
  <c r="HG11" i="1" s="1"/>
  <c r="S24" i="69"/>
  <c r="W24" i="69" s="1"/>
  <c r="AA24" i="69" s="1"/>
  <c r="S25" i="69"/>
  <c r="W25" i="69" s="1"/>
  <c r="AA25" i="69" s="1"/>
  <c r="NL6" i="1"/>
  <c r="NV6" i="1"/>
  <c r="NW6" i="1"/>
  <c r="OB6" i="1"/>
  <c r="NY6" i="1"/>
  <c r="OE6" i="1"/>
  <c r="OC6" i="1"/>
  <c r="OO6" i="1"/>
  <c r="OR6" i="1"/>
  <c r="OL6" i="1"/>
  <c r="OD6" i="1"/>
  <c r="OA6" i="1"/>
  <c r="OS6" i="1"/>
  <c r="OG6" i="1"/>
  <c r="OK6" i="1"/>
  <c r="NX6" i="1"/>
  <c r="NZ6" i="1"/>
  <c r="OI6" i="1"/>
  <c r="NU6" i="1"/>
  <c r="OH6" i="1"/>
  <c r="ON6" i="1"/>
  <c r="OT6" i="1"/>
  <c r="OQ6" i="1"/>
  <c r="OF6" i="1"/>
  <c r="OP6" i="1"/>
  <c r="OJ6" i="1"/>
  <c r="OM6" i="1"/>
  <c r="NL12" i="1"/>
  <c r="W32" i="69"/>
  <c r="S33" i="69"/>
  <c r="OG12" i="1"/>
  <c r="OJ12" i="1"/>
  <c r="OS12" i="1"/>
  <c r="OH12" i="1"/>
  <c r="NZ12" i="1"/>
  <c r="OQ12" i="1"/>
  <c r="OK12" i="1"/>
  <c r="OE12" i="1"/>
  <c r="NY12" i="1"/>
  <c r="OF12" i="1"/>
  <c r="OA12" i="1"/>
  <c r="ON12" i="1"/>
  <c r="OR12" i="1"/>
  <c r="OI12" i="1"/>
  <c r="OC12" i="1"/>
  <c r="OP12" i="1"/>
  <c r="NX12" i="1"/>
  <c r="OT12" i="1"/>
  <c r="OO12" i="1"/>
  <c r="OB12" i="1"/>
  <c r="NW12" i="1"/>
  <c r="OM12" i="1"/>
  <c r="OD12" i="1"/>
  <c r="OL12" i="1"/>
  <c r="OS8" i="1"/>
  <c r="OT8" i="1"/>
  <c r="OC8" i="1"/>
  <c r="OI8" i="1"/>
  <c r="OD8" i="1"/>
  <c r="OK8" i="1"/>
  <c r="NY8" i="1"/>
  <c r="OM8" i="1"/>
  <c r="OF8" i="1"/>
  <c r="OJ8" i="1"/>
  <c r="OE8" i="1"/>
  <c r="OQ8" i="1"/>
  <c r="OR8" i="1"/>
  <c r="OB8" i="1"/>
  <c r="OA8" i="1"/>
  <c r="NW8" i="1"/>
  <c r="OG8" i="1"/>
  <c r="OO8" i="1"/>
  <c r="OP8" i="1"/>
  <c r="NX8" i="1"/>
  <c r="OL8" i="1"/>
  <c r="ON8" i="1"/>
  <c r="OH8" i="1"/>
  <c r="NZ8" i="1"/>
  <c r="NL8" i="1"/>
  <c r="M15" i="69"/>
  <c r="M26" i="69"/>
  <c r="MQ24" i="1"/>
  <c r="NF24" i="1" s="1"/>
  <c r="NH24" i="1" s="1"/>
  <c r="G26" i="69"/>
  <c r="U26" i="69" s="1"/>
  <c r="U20" i="69"/>
  <c r="S20" i="69"/>
  <c r="MQ9" i="1"/>
  <c r="NF9" i="1" s="1"/>
  <c r="NH9" i="1" s="1"/>
  <c r="OK9" i="1" s="1"/>
  <c r="G13" i="69"/>
  <c r="Q13" i="69" s="1"/>
  <c r="GX5" i="1"/>
  <c r="E9" i="69"/>
  <c r="M17" i="69"/>
  <c r="MQ25" i="1"/>
  <c r="NF25" i="1" s="1"/>
  <c r="NH25" i="1" s="1"/>
  <c r="OR25" i="1" s="1"/>
  <c r="G31" i="69"/>
  <c r="MQ13" i="1"/>
  <c r="NF13" i="1" s="1"/>
  <c r="NH13" i="1" s="1"/>
  <c r="G17" i="69"/>
  <c r="U17" i="69" s="1"/>
  <c r="DG11" i="1"/>
  <c r="DI11" i="1" s="1"/>
  <c r="DJ11" i="1" s="1"/>
  <c r="DP11" i="1" s="1"/>
  <c r="DG5" i="1"/>
  <c r="DG15" i="1"/>
  <c r="DI15" i="1" s="1"/>
  <c r="DJ15" i="1" s="1"/>
  <c r="DP15" i="1" s="1"/>
  <c r="O34" i="59"/>
  <c r="M20" i="49"/>
  <c r="M22" i="49"/>
  <c r="S10" i="49"/>
  <c r="U10" i="49" s="1"/>
  <c r="Y10" i="49" s="1"/>
  <c r="M17" i="49"/>
  <c r="M12" i="49"/>
  <c r="M14" i="49"/>
  <c r="S31" i="49"/>
  <c r="U31" i="49" s="1"/>
  <c r="S32" i="49"/>
  <c r="U32" i="49" s="1"/>
  <c r="M9" i="49"/>
  <c r="S16" i="49"/>
  <c r="U16" i="49" s="1"/>
  <c r="Y16" i="49" s="1"/>
  <c r="S21" i="49"/>
  <c r="U21" i="49" s="1"/>
  <c r="Y21" i="49" s="1"/>
  <c r="E35" i="59"/>
  <c r="O33" i="59"/>
  <c r="G35" i="59"/>
  <c r="E69" i="10"/>
  <c r="E27" i="10" s="1"/>
  <c r="FP21" i="1"/>
  <c r="CG14" i="1"/>
  <c r="CH14" i="1" s="1"/>
  <c r="FY20" i="1"/>
  <c r="FY21" i="1" s="1"/>
  <c r="CG12" i="1"/>
  <c r="CG11" i="1"/>
  <c r="CH11" i="1" s="1"/>
  <c r="CG18" i="1"/>
  <c r="CH18" i="1" s="1"/>
  <c r="CG10" i="1"/>
  <c r="CH10" i="1" s="1"/>
  <c r="GI20" i="1"/>
  <c r="GI21" i="1" s="1"/>
  <c r="CG22" i="1"/>
  <c r="DD12" i="1"/>
  <c r="DE12" i="1" s="1"/>
  <c r="M23" i="73" s="1"/>
  <c r="O23" i="73" s="1"/>
  <c r="JZ11" i="1"/>
  <c r="KO11" i="1" s="1"/>
  <c r="KQ11" i="1" s="1"/>
  <c r="LK11" i="1" s="1"/>
  <c r="CG24" i="1"/>
  <c r="CG17" i="1"/>
  <c r="CH17" i="1" s="1"/>
  <c r="CG23" i="1"/>
  <c r="CG6" i="1"/>
  <c r="JZ10" i="1"/>
  <c r="KO10" i="1" s="1"/>
  <c r="KQ10" i="1" s="1"/>
  <c r="DG20" i="1"/>
  <c r="DG21" i="1" s="1"/>
  <c r="G17" i="49"/>
  <c r="G20" i="49"/>
  <c r="G22" i="49"/>
  <c r="G12" i="49"/>
  <c r="G14" i="49"/>
  <c r="G9" i="49"/>
  <c r="DD26" i="1"/>
  <c r="DF26" i="1" s="1"/>
  <c r="DI26" i="1" s="1"/>
  <c r="G15" i="49"/>
  <c r="DE16" i="1"/>
  <c r="DF16" i="1"/>
  <c r="DI16" i="1" s="1"/>
  <c r="DD24" i="1"/>
  <c r="DF13" i="1"/>
  <c r="DI13" i="1" s="1"/>
  <c r="DE13" i="1"/>
  <c r="DE9" i="1"/>
  <c r="DF9" i="1"/>
  <c r="DI9" i="1" s="1"/>
  <c r="GL20" i="1"/>
  <c r="GL21" i="1" s="1"/>
  <c r="DE6" i="1"/>
  <c r="DF6" i="1"/>
  <c r="DI6" i="1" s="1"/>
  <c r="DD22" i="1"/>
  <c r="M82" i="10"/>
  <c r="JI23" i="1"/>
  <c r="Q27" i="59"/>
  <c r="FV9" i="1"/>
  <c r="G29" i="59"/>
  <c r="AC29" i="59" s="1"/>
  <c r="FU16" i="1"/>
  <c r="FU19" i="1" s="1"/>
  <c r="Q28" i="59"/>
  <c r="U28" i="59" s="1"/>
  <c r="FV15" i="1"/>
  <c r="JN23" i="1"/>
  <c r="O15" i="59"/>
  <c r="U15" i="59" s="1"/>
  <c r="BS20" i="1"/>
  <c r="BS21" i="1" s="1"/>
  <c r="BW15" i="1"/>
  <c r="JZ15" i="1" s="1"/>
  <c r="E19" i="49"/>
  <c r="JZ16" i="1"/>
  <c r="KO16" i="1" s="1"/>
  <c r="KQ16" i="1" s="1"/>
  <c r="LL16" i="1" s="1"/>
  <c r="BW9" i="1"/>
  <c r="E13" i="49"/>
  <c r="JZ18" i="1"/>
  <c r="KO18" i="1" s="1"/>
  <c r="KQ18" i="1" s="1"/>
  <c r="LF18" i="1" s="1"/>
  <c r="M15" i="49"/>
  <c r="DM5" i="1"/>
  <c r="JV23" i="1"/>
  <c r="JW23" i="1"/>
  <c r="JM23" i="1"/>
  <c r="JG23" i="1"/>
  <c r="JJ23" i="1"/>
  <c r="JU23" i="1"/>
  <c r="JS23" i="1"/>
  <c r="JQ23" i="1"/>
  <c r="JR23" i="1"/>
  <c r="JO23" i="1"/>
  <c r="JB23" i="1"/>
  <c r="JE23" i="1"/>
  <c r="JC23" i="1"/>
  <c r="DI17" i="1"/>
  <c r="DJ17" i="1" s="1"/>
  <c r="DP17" i="1" s="1"/>
  <c r="DG23" i="1"/>
  <c r="DH14" i="1"/>
  <c r="DH13" i="1"/>
  <c r="DH12" i="1"/>
  <c r="DH6" i="1"/>
  <c r="DH9" i="1"/>
  <c r="GZ26" i="1"/>
  <c r="DH25" i="1"/>
  <c r="DH26" i="1"/>
  <c r="DH22" i="1"/>
  <c r="DA21" i="1"/>
  <c r="JF23" i="1"/>
  <c r="JL23" i="1"/>
  <c r="JH23" i="1"/>
  <c r="IZ23" i="1"/>
  <c r="DB10" i="1"/>
  <c r="G11" i="72" s="1"/>
  <c r="U11" i="72" s="1"/>
  <c r="DG10" i="1"/>
  <c r="DL10" i="1"/>
  <c r="IY23" i="1"/>
  <c r="JK23" i="1"/>
  <c r="IX23" i="1"/>
  <c r="JT23" i="1"/>
  <c r="JD23" i="1"/>
  <c r="JP23" i="1"/>
  <c r="DZ27" i="1"/>
  <c r="KU17" i="1"/>
  <c r="DV20" i="1"/>
  <c r="DV21" i="1" s="1"/>
  <c r="HK5" i="1"/>
  <c r="HA5" i="1" s="1"/>
  <c r="HF5" i="1" s="1"/>
  <c r="KW14" i="1"/>
  <c r="KV14" i="1"/>
  <c r="FS27" i="1"/>
  <c r="T113" i="9"/>
  <c r="F114" i="9" s="1"/>
  <c r="U113" i="9"/>
  <c r="P18" i="9"/>
  <c r="Q18" i="9"/>
  <c r="T18" i="9"/>
  <c r="C18" i="9"/>
  <c r="N18" i="9"/>
  <c r="I18" i="9"/>
  <c r="G18" i="9"/>
  <c r="E18" i="9"/>
  <c r="J18" i="9"/>
  <c r="D18" i="9"/>
  <c r="S18" i="9"/>
  <c r="O18" i="9"/>
  <c r="B18" i="9"/>
  <c r="K18" i="9"/>
  <c r="H18" i="9"/>
  <c r="U117" i="9"/>
  <c r="T117" i="9"/>
  <c r="J16" i="9"/>
  <c r="I16" i="9"/>
  <c r="S16" i="9"/>
  <c r="N16" i="9"/>
  <c r="H16" i="9"/>
  <c r="D16" i="9"/>
  <c r="B16" i="9"/>
  <c r="G16" i="9"/>
  <c r="K16" i="9"/>
  <c r="Q16" i="9"/>
  <c r="E16" i="9"/>
  <c r="O16" i="9"/>
  <c r="C16" i="9"/>
  <c r="P16" i="9"/>
  <c r="FY8" i="1"/>
  <c r="FY11" i="1"/>
  <c r="FY12" i="1"/>
  <c r="FY14" i="1"/>
  <c r="FY15" i="1"/>
  <c r="FY25" i="1"/>
  <c r="FY18" i="1"/>
  <c r="FY5" i="1"/>
  <c r="FY6" i="1"/>
  <c r="FY9" i="1"/>
  <c r="FY17" i="1"/>
  <c r="FY24" i="1"/>
  <c r="FY22" i="1"/>
  <c r="FY23" i="1"/>
  <c r="GC23" i="1" s="1"/>
  <c r="FY10" i="1"/>
  <c r="FY16" i="1"/>
  <c r="FY26" i="1"/>
  <c r="FY13" i="1"/>
  <c r="GC13" i="1" s="1"/>
  <c r="CL8" i="1"/>
  <c r="CO8" i="1" s="1"/>
  <c r="KL23" i="1"/>
  <c r="KM23" i="1" s="1"/>
  <c r="KO23" i="1"/>
  <c r="KU23" i="1"/>
  <c r="U115" i="9"/>
  <c r="T115" i="9"/>
  <c r="BZ23" i="1"/>
  <c r="C27" i="10"/>
  <c r="C15" i="10"/>
  <c r="HA15" i="1"/>
  <c r="HF15" i="1" s="1"/>
  <c r="JR13" i="1"/>
  <c r="JG13" i="1"/>
  <c r="IY13" i="1"/>
  <c r="JJ13" i="1"/>
  <c r="JL13" i="1"/>
  <c r="JQ13" i="1"/>
  <c r="JV13" i="1"/>
  <c r="JF13" i="1"/>
  <c r="IZ13" i="1"/>
  <c r="JC13" i="1"/>
  <c r="JH13" i="1"/>
  <c r="JP13" i="1"/>
  <c r="JB13" i="1"/>
  <c r="JU13" i="1"/>
  <c r="JA13" i="1"/>
  <c r="JI13" i="1"/>
  <c r="JO13" i="1"/>
  <c r="JS13" i="1"/>
  <c r="JE13" i="1"/>
  <c r="JW13" i="1"/>
  <c r="JT13" i="1"/>
  <c r="JM13" i="1"/>
  <c r="JK13" i="1"/>
  <c r="JD13" i="1"/>
  <c r="JN13" i="1"/>
  <c r="E15" i="10"/>
  <c r="JL8" i="1"/>
  <c r="JC8" i="1"/>
  <c r="JG8" i="1"/>
  <c r="JR8" i="1"/>
  <c r="JP8" i="1"/>
  <c r="JU8" i="1"/>
  <c r="JB8" i="1"/>
  <c r="JD8" i="1"/>
  <c r="JQ8" i="1"/>
  <c r="JH8" i="1"/>
  <c r="JS8" i="1"/>
  <c r="JA8" i="1"/>
  <c r="JK8" i="1"/>
  <c r="JJ8" i="1"/>
  <c r="JV8" i="1"/>
  <c r="JO8" i="1"/>
  <c r="JF8" i="1"/>
  <c r="JM8" i="1"/>
  <c r="JE8" i="1"/>
  <c r="JN8" i="1"/>
  <c r="JW8" i="1"/>
  <c r="JT8" i="1"/>
  <c r="JI8" i="1"/>
  <c r="IZ8" i="1"/>
  <c r="CP5" i="1"/>
  <c r="CR5" i="1" s="1"/>
  <c r="GK26" i="1"/>
  <c r="GK27" i="1" s="1"/>
  <c r="GJ27" i="1"/>
  <c r="AZ20" i="1"/>
  <c r="BS19" i="1"/>
  <c r="JY8" i="1"/>
  <c r="KU8" i="1" s="1"/>
  <c r="CG8" i="1"/>
  <c r="CH8" i="1" s="1"/>
  <c r="LR13" i="1"/>
  <c r="LZ13" i="1"/>
  <c r="LE13" i="1"/>
  <c r="LN13" i="1"/>
  <c r="LL13" i="1"/>
  <c r="LP13" i="1"/>
  <c r="MC13" i="1"/>
  <c r="LQ13" i="1"/>
  <c r="MA13" i="1"/>
  <c r="LV13" i="1"/>
  <c r="LY13" i="1"/>
  <c r="LS13" i="1"/>
  <c r="LT13" i="1"/>
  <c r="MB13" i="1"/>
  <c r="LF13" i="1"/>
  <c r="LJ13" i="1"/>
  <c r="LU13" i="1"/>
  <c r="LK13" i="1"/>
  <c r="LO13" i="1"/>
  <c r="LH13" i="1"/>
  <c r="LW13" i="1"/>
  <c r="LI13" i="1"/>
  <c r="LX13" i="1"/>
  <c r="LM13" i="1"/>
  <c r="LG13" i="1"/>
  <c r="JY13" i="1"/>
  <c r="KU13" i="1" s="1"/>
  <c r="CG13" i="1"/>
  <c r="CH13" i="1" s="1"/>
  <c r="IO7" i="1"/>
  <c r="II7" i="1"/>
  <c r="IF7" i="1"/>
  <c r="GT7" i="1"/>
  <c r="GQ19" i="1"/>
  <c r="JI14" i="1"/>
  <c r="JM14" i="1"/>
  <c r="JG14" i="1"/>
  <c r="JQ14" i="1"/>
  <c r="JW14" i="1"/>
  <c r="JH14" i="1"/>
  <c r="JC14" i="1"/>
  <c r="JS14" i="1"/>
  <c r="JP14" i="1"/>
  <c r="IZ14" i="1"/>
  <c r="JO14" i="1"/>
  <c r="JE14" i="1"/>
  <c r="JT14" i="1"/>
  <c r="JA14" i="1"/>
  <c r="JL14" i="1"/>
  <c r="JU14" i="1"/>
  <c r="JF14" i="1"/>
  <c r="JV14" i="1"/>
  <c r="JR14" i="1"/>
  <c r="JB14" i="1"/>
  <c r="JD14" i="1"/>
  <c r="JK14" i="1"/>
  <c r="JJ14" i="1"/>
  <c r="JN14" i="1"/>
  <c r="FP7" i="1"/>
  <c r="GL7" i="1" s="1"/>
  <c r="FO19" i="1"/>
  <c r="CA6" i="1"/>
  <c r="CC6" i="1" s="1"/>
  <c r="JQ11" i="1"/>
  <c r="JH11" i="1"/>
  <c r="JJ11" i="1"/>
  <c r="JO11" i="1"/>
  <c r="JP11" i="1"/>
  <c r="JN11" i="1"/>
  <c r="JK11" i="1"/>
  <c r="JV11" i="1"/>
  <c r="JF11" i="1"/>
  <c r="JU11" i="1"/>
  <c r="JB11" i="1"/>
  <c r="JG11" i="1"/>
  <c r="JC11" i="1"/>
  <c r="JS11" i="1"/>
  <c r="JM11" i="1"/>
  <c r="JI11" i="1"/>
  <c r="JD11" i="1"/>
  <c r="IZ11" i="1"/>
  <c r="IY11" i="1"/>
  <c r="JR11" i="1"/>
  <c r="JT11" i="1"/>
  <c r="JA11" i="1"/>
  <c r="JW11" i="1"/>
  <c r="JL11" i="1"/>
  <c r="JE11" i="1"/>
  <c r="CO13" i="1"/>
  <c r="CO16" i="1"/>
  <c r="DV23" i="1"/>
  <c r="DV27" i="1" s="1"/>
  <c r="JY16" i="1"/>
  <c r="CG16" i="1"/>
  <c r="CH16" i="1" s="1"/>
  <c r="JT15" i="1"/>
  <c r="JR15" i="1"/>
  <c r="JO15" i="1"/>
  <c r="JF15" i="1"/>
  <c r="JH15" i="1"/>
  <c r="JK15" i="1"/>
  <c r="JW15" i="1"/>
  <c r="JI15" i="1"/>
  <c r="JC15" i="1"/>
  <c r="IZ15" i="1"/>
  <c r="JE15" i="1"/>
  <c r="JL15" i="1"/>
  <c r="JD15" i="1"/>
  <c r="JA15" i="1"/>
  <c r="JN15" i="1"/>
  <c r="JQ15" i="1"/>
  <c r="JU15" i="1"/>
  <c r="JJ15" i="1"/>
  <c r="JV15" i="1"/>
  <c r="JS15" i="1"/>
  <c r="JP15" i="1"/>
  <c r="JB15" i="1"/>
  <c r="JG15" i="1"/>
  <c r="JM15" i="1"/>
  <c r="BB7" i="1"/>
  <c r="AZ19" i="1"/>
  <c r="BA7" i="1"/>
  <c r="E94" i="10"/>
  <c r="C33" i="10"/>
  <c r="DX27" i="1"/>
  <c r="LF8" i="1"/>
  <c r="LL8" i="1"/>
  <c r="LX8" i="1"/>
  <c r="MA8" i="1"/>
  <c r="LS8" i="1"/>
  <c r="LN8" i="1"/>
  <c r="LI8" i="1"/>
  <c r="LG8" i="1"/>
  <c r="LW8" i="1"/>
  <c r="LM8" i="1"/>
  <c r="LJ8" i="1"/>
  <c r="LK8" i="1"/>
  <c r="LY8" i="1"/>
  <c r="LT8" i="1"/>
  <c r="LR8" i="1"/>
  <c r="LP8" i="1"/>
  <c r="LV8" i="1"/>
  <c r="LZ8" i="1"/>
  <c r="LU8" i="1"/>
  <c r="MB8" i="1"/>
  <c r="LO8" i="1"/>
  <c r="MC8" i="1"/>
  <c r="LH8" i="1"/>
  <c r="LQ8" i="1"/>
  <c r="DY7" i="1"/>
  <c r="GW20" i="1"/>
  <c r="HI20" i="1"/>
  <c r="HI21" i="1" s="1"/>
  <c r="HL20" i="1"/>
  <c r="HL21" i="1" s="1"/>
  <c r="GX15" i="1"/>
  <c r="MP15" i="1"/>
  <c r="IO20" i="1"/>
  <c r="IF20" i="1"/>
  <c r="II20" i="1"/>
  <c r="GH20" i="1"/>
  <c r="GN26" i="1"/>
  <c r="GM27" i="1"/>
  <c r="JS12" i="1"/>
  <c r="JF12" i="1"/>
  <c r="JV12" i="1"/>
  <c r="JK12" i="1"/>
  <c r="JN12" i="1"/>
  <c r="JU12" i="1"/>
  <c r="JD12" i="1"/>
  <c r="JH12" i="1"/>
  <c r="JM12" i="1"/>
  <c r="IZ12" i="1"/>
  <c r="JE12" i="1"/>
  <c r="JL12" i="1"/>
  <c r="JO12" i="1"/>
  <c r="JW12" i="1"/>
  <c r="JG12" i="1"/>
  <c r="JB12" i="1"/>
  <c r="JI12" i="1"/>
  <c r="JJ12" i="1"/>
  <c r="JT12" i="1"/>
  <c r="JC12" i="1"/>
  <c r="JQ12" i="1"/>
  <c r="JP12" i="1"/>
  <c r="JA12" i="1"/>
  <c r="JR12" i="1"/>
  <c r="JF16" i="1"/>
  <c r="JA16" i="1"/>
  <c r="JD16" i="1"/>
  <c r="JR16" i="1"/>
  <c r="JE16" i="1"/>
  <c r="JK16" i="1"/>
  <c r="JS16" i="1"/>
  <c r="IZ16" i="1"/>
  <c r="JN16" i="1"/>
  <c r="JV16" i="1"/>
  <c r="JQ16" i="1"/>
  <c r="JM16" i="1"/>
  <c r="JJ16" i="1"/>
  <c r="JH16" i="1"/>
  <c r="JI16" i="1"/>
  <c r="JU16" i="1"/>
  <c r="JB16" i="1"/>
  <c r="JP16" i="1"/>
  <c r="JL16" i="1"/>
  <c r="JW16" i="1"/>
  <c r="JC16" i="1"/>
  <c r="JT16" i="1"/>
  <c r="JO16" i="1"/>
  <c r="JG16" i="1"/>
  <c r="JT24" i="1"/>
  <c r="JK24" i="1"/>
  <c r="JW24" i="1"/>
  <c r="JC24" i="1"/>
  <c r="JI24" i="1"/>
  <c r="JM24" i="1"/>
  <c r="JA24" i="1"/>
  <c r="JF24" i="1"/>
  <c r="JV24" i="1"/>
  <c r="JN24" i="1"/>
  <c r="JR24" i="1"/>
  <c r="JG24" i="1"/>
  <c r="JP24" i="1"/>
  <c r="IZ24" i="1"/>
  <c r="JS24" i="1"/>
  <c r="JQ24" i="1"/>
  <c r="JE24" i="1"/>
  <c r="JH24" i="1"/>
  <c r="JL24" i="1"/>
  <c r="JU24" i="1"/>
  <c r="JO24" i="1"/>
  <c r="JB24" i="1"/>
  <c r="JJ24" i="1"/>
  <c r="JD24" i="1"/>
  <c r="CO5" i="1"/>
  <c r="CR15" i="1"/>
  <c r="BB27" i="1"/>
  <c r="JW18" i="1"/>
  <c r="JS18" i="1"/>
  <c r="JP18" i="1"/>
  <c r="JI18" i="1"/>
  <c r="JE18" i="1"/>
  <c r="JN18" i="1"/>
  <c r="JG18" i="1"/>
  <c r="JB18" i="1"/>
  <c r="JK18" i="1"/>
  <c r="JL18" i="1"/>
  <c r="JH18" i="1"/>
  <c r="JV18" i="1"/>
  <c r="JQ18" i="1"/>
  <c r="JD18" i="1"/>
  <c r="JC18" i="1"/>
  <c r="JO18" i="1"/>
  <c r="IZ18" i="1"/>
  <c r="JM18" i="1"/>
  <c r="JU18" i="1"/>
  <c r="JA18" i="1"/>
  <c r="JJ18" i="1"/>
  <c r="JF18" i="1"/>
  <c r="JR18" i="1"/>
  <c r="JT18" i="1"/>
  <c r="JQ17" i="1"/>
  <c r="JW17" i="1"/>
  <c r="JG17" i="1"/>
  <c r="JU17" i="1"/>
  <c r="JE17" i="1"/>
  <c r="IZ17" i="1"/>
  <c r="JV17" i="1"/>
  <c r="JN17" i="1"/>
  <c r="JO17" i="1"/>
  <c r="JD17" i="1"/>
  <c r="JT17" i="1"/>
  <c r="JS17" i="1"/>
  <c r="JR17" i="1"/>
  <c r="JH17" i="1"/>
  <c r="JK17" i="1"/>
  <c r="JC17" i="1"/>
  <c r="JL17" i="1"/>
  <c r="JI17" i="1"/>
  <c r="IY17" i="1"/>
  <c r="JJ17" i="1"/>
  <c r="JP17" i="1"/>
  <c r="JM17" i="1"/>
  <c r="JF17" i="1"/>
  <c r="JB17" i="1"/>
  <c r="JA17" i="1"/>
  <c r="IY26" i="1"/>
  <c r="JF26" i="1"/>
  <c r="JE26" i="1"/>
  <c r="JU26" i="1"/>
  <c r="JK26" i="1"/>
  <c r="JM26" i="1"/>
  <c r="JB26" i="1"/>
  <c r="JJ26" i="1"/>
  <c r="JD26" i="1"/>
  <c r="JP26" i="1"/>
  <c r="JS26" i="1"/>
  <c r="JH26" i="1"/>
  <c r="JA26" i="1"/>
  <c r="IX26" i="1"/>
  <c r="JC26" i="1"/>
  <c r="JV26" i="1"/>
  <c r="JN26" i="1"/>
  <c r="JL26" i="1"/>
  <c r="JI26" i="1"/>
  <c r="JT26" i="1"/>
  <c r="JG26" i="1"/>
  <c r="JQ26" i="1"/>
  <c r="JR26" i="1"/>
  <c r="JO26" i="1"/>
  <c r="JW26" i="1"/>
  <c r="IZ26" i="1"/>
  <c r="JY15" i="1"/>
  <c r="CG15" i="1"/>
  <c r="GL27" i="1"/>
  <c r="GN23" i="1"/>
  <c r="IZ25" i="1"/>
  <c r="JS25" i="1"/>
  <c r="JU25" i="1"/>
  <c r="JJ25" i="1"/>
  <c r="JG25" i="1"/>
  <c r="JT25" i="1"/>
  <c r="JF25" i="1"/>
  <c r="JQ25" i="1"/>
  <c r="JO25" i="1"/>
  <c r="JM25" i="1"/>
  <c r="JV25" i="1"/>
  <c r="JK25" i="1"/>
  <c r="JP25" i="1"/>
  <c r="JA25" i="1"/>
  <c r="JL25" i="1"/>
  <c r="JE25" i="1"/>
  <c r="JH25" i="1"/>
  <c r="JI25" i="1"/>
  <c r="JR25" i="1"/>
  <c r="JW25" i="1"/>
  <c r="JD25" i="1"/>
  <c r="JC25" i="1"/>
  <c r="JN25" i="1"/>
  <c r="JB25" i="1"/>
  <c r="CO15" i="1"/>
  <c r="KO12" i="1"/>
  <c r="KU12" i="1"/>
  <c r="KL12" i="1"/>
  <c r="BZ22" i="1"/>
  <c r="ND26" i="1"/>
  <c r="BS25" i="1"/>
  <c r="BT25" i="1" s="1"/>
  <c r="BV25" i="1" s="1"/>
  <c r="CJ9" i="1"/>
  <c r="CL9" i="1"/>
  <c r="CM9" i="1"/>
  <c r="CP9" i="1"/>
  <c r="CR9" i="1" s="1"/>
  <c r="JD10" i="1"/>
  <c r="JO10" i="1"/>
  <c r="JW10" i="1"/>
  <c r="JQ10" i="1"/>
  <c r="JS10" i="1"/>
  <c r="IZ10" i="1"/>
  <c r="JK10" i="1"/>
  <c r="JU10" i="1"/>
  <c r="JE10" i="1"/>
  <c r="JN10" i="1"/>
  <c r="IY10" i="1"/>
  <c r="JH10" i="1"/>
  <c r="JB10" i="1"/>
  <c r="JP10" i="1"/>
  <c r="JT10" i="1"/>
  <c r="JC10" i="1"/>
  <c r="JL10" i="1"/>
  <c r="JA10" i="1"/>
  <c r="JF10" i="1"/>
  <c r="JJ10" i="1"/>
  <c r="JI10" i="1"/>
  <c r="JG10" i="1"/>
  <c r="JM10" i="1"/>
  <c r="JV10" i="1"/>
  <c r="JR10" i="1"/>
  <c r="BZ12" i="1"/>
  <c r="KL22" i="1"/>
  <c r="KO22" i="1"/>
  <c r="BY15" i="1"/>
  <c r="DC27" i="1"/>
  <c r="KM6" i="1"/>
  <c r="HK26" i="1"/>
  <c r="HN26" i="1"/>
  <c r="GW26" i="1"/>
  <c r="HI26" i="1"/>
  <c r="HL26" i="1"/>
  <c r="GU27" i="1"/>
  <c r="GW18" i="1"/>
  <c r="HK18" i="1"/>
  <c r="HL18" i="1"/>
  <c r="HN18" i="1"/>
  <c r="HI18" i="1"/>
  <c r="DW27" i="1"/>
  <c r="DA27" i="1"/>
  <c r="JB22" i="1"/>
  <c r="JF22" i="1"/>
  <c r="JJ22" i="1"/>
  <c r="JN22" i="1"/>
  <c r="JR22" i="1"/>
  <c r="JV22" i="1"/>
  <c r="IY22" i="1"/>
  <c r="JC22" i="1"/>
  <c r="JG22" i="1"/>
  <c r="JK22" i="1"/>
  <c r="JO22" i="1"/>
  <c r="JS22" i="1"/>
  <c r="JW22" i="1"/>
  <c r="IZ22" i="1"/>
  <c r="JD22" i="1"/>
  <c r="JH22" i="1"/>
  <c r="JL22" i="1"/>
  <c r="JP22" i="1"/>
  <c r="JT22" i="1"/>
  <c r="JA22" i="1"/>
  <c r="JU22" i="1"/>
  <c r="JI22" i="1"/>
  <c r="JQ22" i="1"/>
  <c r="JE22" i="1"/>
  <c r="JM22" i="1"/>
  <c r="DT27" i="1"/>
  <c r="JI5" i="1"/>
  <c r="JU5" i="1"/>
  <c r="JB5" i="1"/>
  <c r="JS5" i="1"/>
  <c r="JC5" i="1"/>
  <c r="JN5" i="1"/>
  <c r="JF5" i="1"/>
  <c r="JO5" i="1"/>
  <c r="JH5" i="1"/>
  <c r="JW5" i="1"/>
  <c r="JT5" i="1"/>
  <c r="JQ5" i="1"/>
  <c r="JV5" i="1"/>
  <c r="JR5" i="1"/>
  <c r="JD5" i="1"/>
  <c r="JM5" i="1"/>
  <c r="JK5" i="1"/>
  <c r="JG5" i="1"/>
  <c r="JA5" i="1"/>
  <c r="IZ5" i="1"/>
  <c r="JE5" i="1"/>
  <c r="JP5" i="1"/>
  <c r="JL5" i="1"/>
  <c r="JJ5" i="1"/>
  <c r="MP5" i="1"/>
  <c r="DB20" i="1"/>
  <c r="FX27" i="1"/>
  <c r="FT27" i="1"/>
  <c r="JY5" i="1"/>
  <c r="CG5" i="1"/>
  <c r="CH5" i="1" s="1"/>
  <c r="JH9" i="1"/>
  <c r="JM9" i="1"/>
  <c r="JE9" i="1"/>
  <c r="JS9" i="1"/>
  <c r="JF9" i="1"/>
  <c r="JG9" i="1"/>
  <c r="JT9" i="1"/>
  <c r="JL9" i="1"/>
  <c r="JJ9" i="1"/>
  <c r="JN9" i="1"/>
  <c r="JW9" i="1"/>
  <c r="JI9" i="1"/>
  <c r="JB9" i="1"/>
  <c r="IZ9" i="1"/>
  <c r="JR9" i="1"/>
  <c r="JD9" i="1"/>
  <c r="JC9" i="1"/>
  <c r="JQ9" i="1"/>
  <c r="JP9" i="1"/>
  <c r="JK9" i="1"/>
  <c r="JO9" i="1"/>
  <c r="JV9" i="1"/>
  <c r="JA9" i="1"/>
  <c r="JU9" i="1"/>
  <c r="JW6" i="1"/>
  <c r="JP6" i="1"/>
  <c r="JQ6" i="1"/>
  <c r="JV6" i="1"/>
  <c r="JB6" i="1"/>
  <c r="IX6" i="1"/>
  <c r="JD6" i="1"/>
  <c r="JF6" i="1"/>
  <c r="JS6" i="1"/>
  <c r="JM6" i="1"/>
  <c r="IY6" i="1"/>
  <c r="JJ6" i="1"/>
  <c r="JC6" i="1"/>
  <c r="JR6" i="1"/>
  <c r="JA6" i="1"/>
  <c r="JL6" i="1"/>
  <c r="JT6" i="1"/>
  <c r="JE6" i="1"/>
  <c r="JN6" i="1"/>
  <c r="JH6" i="1"/>
  <c r="JO6" i="1"/>
  <c r="IZ6" i="1"/>
  <c r="JG6" i="1"/>
  <c r="JU6" i="1"/>
  <c r="JK6" i="1"/>
  <c r="JI6" i="1"/>
  <c r="BA27" i="1"/>
  <c r="GY27" i="1"/>
  <c r="O82" i="10"/>
  <c r="LW17" i="1"/>
  <c r="LJ17" i="1"/>
  <c r="LI17" i="1"/>
  <c r="LY17" i="1"/>
  <c r="LU17" i="1"/>
  <c r="MA17" i="1"/>
  <c r="LM17" i="1"/>
  <c r="LZ17" i="1"/>
  <c r="LT17" i="1"/>
  <c r="LP17" i="1"/>
  <c r="LS17" i="1"/>
  <c r="MC17" i="1"/>
  <c r="LE17" i="1"/>
  <c r="LX17" i="1"/>
  <c r="LV17" i="1"/>
  <c r="LK17" i="1"/>
  <c r="LF17" i="1"/>
  <c r="LQ17" i="1"/>
  <c r="LG17" i="1"/>
  <c r="LN17" i="1"/>
  <c r="LO17" i="1"/>
  <c r="LH17" i="1"/>
  <c r="LR17" i="1"/>
  <c r="LL17" i="1"/>
  <c r="MB17" i="1"/>
  <c r="DB23" i="1"/>
  <c r="EZ16" i="1" l="1"/>
  <c r="AI26" i="73" s="1"/>
  <c r="EZ24" i="1"/>
  <c r="AI29" i="73" s="1"/>
  <c r="AM35" i="72"/>
  <c r="M33" i="72"/>
  <c r="S10" i="69"/>
  <c r="W10" i="69" s="1"/>
  <c r="AA10" i="69" s="1"/>
  <c r="W23" i="73"/>
  <c r="AM33" i="73"/>
  <c r="EJ21" i="1"/>
  <c r="G14" i="73"/>
  <c r="AQ14" i="73" s="1"/>
  <c r="E21" i="73"/>
  <c r="I97" i="10"/>
  <c r="I34" i="10" s="1"/>
  <c r="HD25" i="1"/>
  <c r="Y31" i="69"/>
  <c r="EJ7" i="1"/>
  <c r="S29" i="72"/>
  <c r="EM27" i="1"/>
  <c r="AM27" i="73"/>
  <c r="S27" i="72"/>
  <c r="AQ27" i="72"/>
  <c r="U27" i="72"/>
  <c r="FE19" i="1"/>
  <c r="FE28" i="1" s="1"/>
  <c r="EQ8" i="1"/>
  <c r="ER8" i="1" s="1"/>
  <c r="EX8" i="1" s="1"/>
  <c r="EP19" i="1"/>
  <c r="EP28" i="1" s="1"/>
  <c r="EQ18" i="1"/>
  <c r="ER18" i="1" s="1"/>
  <c r="EX18" i="1" s="1"/>
  <c r="EU7" i="1"/>
  <c r="FG19" i="1"/>
  <c r="FG28" i="1" s="1"/>
  <c r="EQ11" i="1"/>
  <c r="ER11" i="1" s="1"/>
  <c r="EJ19" i="1"/>
  <c r="EJ28" i="1" s="1"/>
  <c r="ET7" i="1"/>
  <c r="FD19" i="1"/>
  <c r="FD28" i="1" s="1"/>
  <c r="EQ5" i="1"/>
  <c r="ER5" i="1" s="1"/>
  <c r="EO7" i="1"/>
  <c r="EO19" i="1" s="1"/>
  <c r="EO28" i="1" s="1"/>
  <c r="EI19" i="1"/>
  <c r="EI28" i="1" s="1"/>
  <c r="EQ10" i="1"/>
  <c r="ER10" i="1" s="1"/>
  <c r="EY10" i="1" s="1"/>
  <c r="EO21" i="1"/>
  <c r="EQ20" i="1"/>
  <c r="ER20" i="1" s="1"/>
  <c r="EQ22" i="1"/>
  <c r="ER22" i="1" s="1"/>
  <c r="EY22" i="1" s="1"/>
  <c r="EY27" i="1" s="1"/>
  <c r="EN27" i="1"/>
  <c r="EQ15" i="1"/>
  <c r="ER15" i="1" s="1"/>
  <c r="EX15" i="1" s="1"/>
  <c r="EQ17" i="1"/>
  <c r="ER17" i="1" s="1"/>
  <c r="EX17" i="1" s="1"/>
  <c r="FB19" i="1"/>
  <c r="FB28" i="1" s="1"/>
  <c r="AG11" i="73"/>
  <c r="AL11" i="73"/>
  <c r="O27" i="59"/>
  <c r="S21" i="69"/>
  <c r="W21" i="69" s="1"/>
  <c r="AA21" i="69" s="1"/>
  <c r="AG12" i="73"/>
  <c r="AL12" i="73"/>
  <c r="U9" i="73"/>
  <c r="W9" i="73" s="1"/>
  <c r="AQ23" i="72"/>
  <c r="AQ29" i="73"/>
  <c r="AM22" i="72"/>
  <c r="M22" i="72" s="1"/>
  <c r="O22" i="72" s="1"/>
  <c r="M22" i="73"/>
  <c r="O22" i="73" s="1"/>
  <c r="W22" i="73" s="1"/>
  <c r="AF17" i="69"/>
  <c r="S29" i="73"/>
  <c r="S20" i="73"/>
  <c r="U20" i="73"/>
  <c r="AQ20" i="73"/>
  <c r="AO20" i="73"/>
  <c r="AG13" i="73"/>
  <c r="AL13" i="73"/>
  <c r="G28" i="72"/>
  <c r="AQ28" i="72" s="1"/>
  <c r="S28" i="72" s="1"/>
  <c r="AQ28" i="73"/>
  <c r="AM24" i="72"/>
  <c r="M24" i="72" s="1"/>
  <c r="O24" i="72" s="1"/>
  <c r="M24" i="73"/>
  <c r="O24" i="73" s="1"/>
  <c r="W24" i="73" s="1"/>
  <c r="AA31" i="69"/>
  <c r="O69" i="10"/>
  <c r="O27" i="10" s="1"/>
  <c r="Q18" i="73"/>
  <c r="AO18" i="73"/>
  <c r="AQ18" i="73"/>
  <c r="U18" i="73"/>
  <c r="AA25" i="73"/>
  <c r="AK9" i="73"/>
  <c r="AF26" i="69"/>
  <c r="AQ11" i="72"/>
  <c r="AO29" i="73"/>
  <c r="Q14" i="73"/>
  <c r="Q15" i="73" s="1"/>
  <c r="Q28" i="73"/>
  <c r="M33" i="73"/>
  <c r="AM35" i="73"/>
  <c r="G16" i="72"/>
  <c r="G17" i="72" s="1"/>
  <c r="U27" i="73"/>
  <c r="Q27" i="73"/>
  <c r="S27" i="73"/>
  <c r="AO27" i="73"/>
  <c r="AQ27" i="73"/>
  <c r="AG10" i="73"/>
  <c r="AL10" i="73"/>
  <c r="AM20" i="72"/>
  <c r="AM26" i="72"/>
  <c r="M26" i="72" s="1"/>
  <c r="O26" i="72" s="1"/>
  <c r="M26" i="73"/>
  <c r="O26" i="73" s="1"/>
  <c r="W26" i="73" s="1"/>
  <c r="AF13" i="69"/>
  <c r="AA23" i="73"/>
  <c r="AA34" i="72"/>
  <c r="W34" i="72"/>
  <c r="AC34" i="72" s="1"/>
  <c r="AG34" i="72" s="1"/>
  <c r="Q35" i="72"/>
  <c r="BK28" i="1"/>
  <c r="NN22" i="1"/>
  <c r="NM22" i="1"/>
  <c r="LN11" i="1"/>
  <c r="BH28" i="1"/>
  <c r="LT11" i="1"/>
  <c r="MA11" i="1"/>
  <c r="LV5" i="1"/>
  <c r="LS5" i="1"/>
  <c r="LO5" i="1"/>
  <c r="KQ6" i="1"/>
  <c r="LG6" i="1" s="1"/>
  <c r="BM19" i="1"/>
  <c r="BM28" i="1" s="1"/>
  <c r="BJ19" i="1"/>
  <c r="BJ28" i="1" s="1"/>
  <c r="LS11" i="1"/>
  <c r="LE11" i="1"/>
  <c r="LO11" i="1"/>
  <c r="LP11" i="1"/>
  <c r="LV11" i="1"/>
  <c r="MC11" i="1"/>
  <c r="LL11" i="1"/>
  <c r="LY11" i="1"/>
  <c r="LW11" i="1"/>
  <c r="LM11" i="1"/>
  <c r="LH11" i="1"/>
  <c r="LU11" i="1"/>
  <c r="LX11" i="1"/>
  <c r="LI11" i="1"/>
  <c r="LF11" i="1"/>
  <c r="LQ11" i="1"/>
  <c r="BC7" i="1"/>
  <c r="BC19" i="1" s="1"/>
  <c r="KU11" i="1"/>
  <c r="LG11" i="1"/>
  <c r="LJ11" i="1"/>
  <c r="LR11" i="1"/>
  <c r="BD7" i="1"/>
  <c r="BD19" i="1" s="1"/>
  <c r="MB11" i="1"/>
  <c r="LZ11" i="1"/>
  <c r="ON11" i="1"/>
  <c r="NZ11" i="1"/>
  <c r="OP11" i="1"/>
  <c r="NN17" i="1"/>
  <c r="FX20" i="1"/>
  <c r="FX21" i="1" s="1"/>
  <c r="NW9" i="1"/>
  <c r="NM17" i="1"/>
  <c r="OP9" i="1"/>
  <c r="LS18" i="1"/>
  <c r="OB9" i="1"/>
  <c r="HE25" i="1"/>
  <c r="NN16" i="1"/>
  <c r="NM16" i="1"/>
  <c r="LZ18" i="1"/>
  <c r="FV25" i="1"/>
  <c r="FV27" i="1" s="1"/>
  <c r="LH18" i="1"/>
  <c r="FU27" i="1"/>
  <c r="LY5" i="1"/>
  <c r="LU5" i="1"/>
  <c r="LL5" i="1"/>
  <c r="LZ5" i="1"/>
  <c r="LP5" i="1"/>
  <c r="NM10" i="1"/>
  <c r="LI5" i="1"/>
  <c r="LN5" i="1"/>
  <c r="LG5" i="1"/>
  <c r="LT5" i="1"/>
  <c r="LK5" i="1"/>
  <c r="MB5" i="1"/>
  <c r="KU5" i="1"/>
  <c r="LQ5" i="1"/>
  <c r="LJ5" i="1"/>
  <c r="LX5" i="1"/>
  <c r="LF5" i="1"/>
  <c r="LR5" i="1"/>
  <c r="LW5" i="1"/>
  <c r="LM5" i="1"/>
  <c r="MA5" i="1"/>
  <c r="MC5" i="1"/>
  <c r="OO11" i="1"/>
  <c r="OE11" i="1"/>
  <c r="NX11" i="1"/>
  <c r="OJ11" i="1"/>
  <c r="OK11" i="1"/>
  <c r="OS11" i="1"/>
  <c r="NL11" i="1"/>
  <c r="OL11" i="1"/>
  <c r="OC11" i="1"/>
  <c r="OA11" i="1"/>
  <c r="OB11" i="1"/>
  <c r="E20" i="59"/>
  <c r="AB24" i="69"/>
  <c r="NY11" i="1"/>
  <c r="NW11" i="1"/>
  <c r="OQ11" i="1"/>
  <c r="FR21" i="1"/>
  <c r="LY16" i="1"/>
  <c r="OI11" i="1"/>
  <c r="OH11" i="1"/>
  <c r="OT11" i="1"/>
  <c r="LQ16" i="1"/>
  <c r="OR11" i="1"/>
  <c r="OD11" i="1"/>
  <c r="OF11" i="1"/>
  <c r="LF16" i="1"/>
  <c r="OG11" i="1"/>
  <c r="NV11" i="1"/>
  <c r="Q34" i="59"/>
  <c r="Q35" i="59" s="1"/>
  <c r="OH9" i="1"/>
  <c r="ON9" i="1"/>
  <c r="OT9" i="1"/>
  <c r="OA9" i="1"/>
  <c r="OQ9" i="1"/>
  <c r="OD9" i="1"/>
  <c r="OE9" i="1"/>
  <c r="OM9" i="1"/>
  <c r="OF9" i="1"/>
  <c r="OC9" i="1"/>
  <c r="OG9" i="1"/>
  <c r="NY9" i="1"/>
  <c r="OJ9" i="1"/>
  <c r="NZ9" i="1"/>
  <c r="OR9" i="1"/>
  <c r="NW25" i="1"/>
  <c r="OI9" i="1"/>
  <c r="OS9" i="1"/>
  <c r="OO9" i="1"/>
  <c r="NL9" i="1"/>
  <c r="OL9" i="1"/>
  <c r="NX9" i="1"/>
  <c r="NN23" i="1"/>
  <c r="NM23" i="1"/>
  <c r="CY28" i="1"/>
  <c r="OB25" i="1"/>
  <c r="LI18" i="1"/>
  <c r="LM18" i="1"/>
  <c r="LT18" i="1"/>
  <c r="KU18" i="1"/>
  <c r="LN18" i="1"/>
  <c r="MB18" i="1"/>
  <c r="LG18" i="1"/>
  <c r="NX25" i="1"/>
  <c r="LK18" i="1"/>
  <c r="LW18" i="1"/>
  <c r="LV18" i="1"/>
  <c r="LP18" i="1"/>
  <c r="LX18" i="1"/>
  <c r="LQ18" i="1"/>
  <c r="MC18" i="1"/>
  <c r="LR18" i="1"/>
  <c r="LO18" i="1"/>
  <c r="OS25" i="1"/>
  <c r="LL18" i="1"/>
  <c r="LY18" i="1"/>
  <c r="LJ18" i="1"/>
  <c r="LU18" i="1"/>
  <c r="MA18" i="1"/>
  <c r="OM25" i="1"/>
  <c r="S23" i="72"/>
  <c r="OJ25" i="1"/>
  <c r="DQ18" i="1"/>
  <c r="DR18" i="1" s="1"/>
  <c r="AI13" i="73" s="1"/>
  <c r="AH13" i="73" s="1"/>
  <c r="AM23" i="72"/>
  <c r="M23" i="72" s="1"/>
  <c r="O23" i="72" s="1"/>
  <c r="M20" i="72"/>
  <c r="DF12" i="1"/>
  <c r="DI12" i="1" s="1"/>
  <c r="DJ12" i="1" s="1"/>
  <c r="DH23" i="1"/>
  <c r="C42" i="72"/>
  <c r="M35" i="72"/>
  <c r="O33" i="72"/>
  <c r="OQ25" i="1"/>
  <c r="AB13" i="69"/>
  <c r="E32" i="69"/>
  <c r="E33" i="69" s="1"/>
  <c r="KU16" i="1"/>
  <c r="LH16" i="1"/>
  <c r="LZ16" i="1"/>
  <c r="LS16" i="1"/>
  <c r="LW16" i="1"/>
  <c r="LV16" i="1"/>
  <c r="Q17" i="69"/>
  <c r="S17" i="69" s="1"/>
  <c r="W17" i="69" s="1"/>
  <c r="AA17" i="69" s="1"/>
  <c r="MB16" i="1"/>
  <c r="LO16" i="1"/>
  <c r="LN16" i="1"/>
  <c r="LP16" i="1"/>
  <c r="MA16" i="1"/>
  <c r="OI25" i="1"/>
  <c r="LU16" i="1"/>
  <c r="LT16" i="1"/>
  <c r="LR16" i="1"/>
  <c r="OO25" i="1"/>
  <c r="OK25" i="1"/>
  <c r="M19" i="69"/>
  <c r="U19" i="59"/>
  <c r="W19" i="59"/>
  <c r="Q12" i="69"/>
  <c r="S12" i="69" s="1"/>
  <c r="W12" i="69" s="1"/>
  <c r="AA12" i="69" s="1"/>
  <c r="Q26" i="69"/>
  <c r="S26" i="69" s="1"/>
  <c r="W26" i="69" s="1"/>
  <c r="AA26" i="69" s="1"/>
  <c r="LX16" i="1"/>
  <c r="LJ16" i="1"/>
  <c r="LK16" i="1"/>
  <c r="LM16" i="1"/>
  <c r="LI16" i="1"/>
  <c r="NN10" i="1"/>
  <c r="NY25" i="1"/>
  <c r="LG16" i="1"/>
  <c r="MC16" i="1"/>
  <c r="AB14" i="69"/>
  <c r="AB17" i="69"/>
  <c r="OG25" i="1"/>
  <c r="NZ25" i="1"/>
  <c r="E23" i="69"/>
  <c r="E22" i="69"/>
  <c r="S15" i="69"/>
  <c r="W15" i="69" s="1"/>
  <c r="AA15" i="69" s="1"/>
  <c r="AB25" i="69"/>
  <c r="AB26" i="69"/>
  <c r="AB16" i="69"/>
  <c r="AB15" i="69"/>
  <c r="AB12" i="69"/>
  <c r="AB20" i="69"/>
  <c r="AB10" i="69"/>
  <c r="OC25" i="1"/>
  <c r="NL24" i="1"/>
  <c r="NL25" i="1"/>
  <c r="W33" i="69"/>
  <c r="NL13" i="1"/>
  <c r="MQ15" i="1"/>
  <c r="NF15" i="1" s="1"/>
  <c r="NH15" i="1" s="1"/>
  <c r="OK15" i="1" s="1"/>
  <c r="G19" i="69"/>
  <c r="Q19" i="69" s="1"/>
  <c r="OG13" i="1"/>
  <c r="OL13" i="1"/>
  <c r="ON13" i="1"/>
  <c r="OH13" i="1"/>
  <c r="OO13" i="1"/>
  <c r="OS13" i="1"/>
  <c r="OR13" i="1"/>
  <c r="NY13" i="1"/>
  <c r="OT13" i="1"/>
  <c r="OB13" i="1"/>
  <c r="OJ13" i="1"/>
  <c r="NZ13" i="1"/>
  <c r="OQ13" i="1"/>
  <c r="NX13" i="1"/>
  <c r="OC13" i="1"/>
  <c r="OE13" i="1"/>
  <c r="OP13" i="1"/>
  <c r="OM13" i="1"/>
  <c r="OA13" i="1"/>
  <c r="NV13" i="1"/>
  <c r="OK13" i="1"/>
  <c r="OI13" i="1"/>
  <c r="OF13" i="1"/>
  <c r="OD13" i="1"/>
  <c r="NW13" i="1"/>
  <c r="AC18" i="69"/>
  <c r="NM12" i="1"/>
  <c r="NN12" i="1"/>
  <c r="Z14" i="49"/>
  <c r="M9" i="69"/>
  <c r="W20" i="69"/>
  <c r="AA20" i="69" s="1"/>
  <c r="MQ5" i="1"/>
  <c r="NF5" i="1" s="1"/>
  <c r="NH5" i="1" s="1"/>
  <c r="G9" i="69"/>
  <c r="AF9" i="69" s="1"/>
  <c r="NM6" i="1"/>
  <c r="NN6" i="1"/>
  <c r="U13" i="69"/>
  <c r="S13" i="69"/>
  <c r="AC21" i="69"/>
  <c r="ON25" i="1"/>
  <c r="OD25" i="1"/>
  <c r="OP25" i="1"/>
  <c r="OT25" i="1"/>
  <c r="OF25" i="1"/>
  <c r="OH25" i="1"/>
  <c r="OE25" i="1"/>
  <c r="NN8" i="1"/>
  <c r="NM8" i="1"/>
  <c r="OA25" i="1"/>
  <c r="OL25" i="1"/>
  <c r="NX24" i="1"/>
  <c r="OJ24" i="1"/>
  <c r="OL24" i="1"/>
  <c r="NW24" i="1"/>
  <c r="OH24" i="1"/>
  <c r="OK24" i="1"/>
  <c r="OR24" i="1"/>
  <c r="OS24" i="1"/>
  <c r="OF24" i="1"/>
  <c r="OI24" i="1"/>
  <c r="OE24" i="1"/>
  <c r="OQ24" i="1"/>
  <c r="OT24" i="1"/>
  <c r="NZ24" i="1"/>
  <c r="NY24" i="1"/>
  <c r="OP24" i="1"/>
  <c r="OG24" i="1"/>
  <c r="OD24" i="1"/>
  <c r="OA24" i="1"/>
  <c r="ON24" i="1"/>
  <c r="OB24" i="1"/>
  <c r="OC24" i="1"/>
  <c r="OO24" i="1"/>
  <c r="OM24" i="1"/>
  <c r="DH24" i="1"/>
  <c r="DH16" i="1"/>
  <c r="DJ16" i="1" s="1"/>
  <c r="DI5" i="1"/>
  <c r="DJ5" i="1" s="1"/>
  <c r="DP5" i="1" s="1"/>
  <c r="AC30" i="59"/>
  <c r="GZ27" i="1"/>
  <c r="G30" i="59"/>
  <c r="M35" i="59"/>
  <c r="S20" i="49"/>
  <c r="U20" i="49" s="1"/>
  <c r="Y20" i="49" s="1"/>
  <c r="M19" i="49"/>
  <c r="S15" i="49"/>
  <c r="U15" i="49" s="1"/>
  <c r="Y15" i="49" s="1"/>
  <c r="S17" i="49"/>
  <c r="U17" i="49" s="1"/>
  <c r="Y17" i="49" s="1"/>
  <c r="S14" i="49"/>
  <c r="U14" i="49" s="1"/>
  <c r="Y14" i="49" s="1"/>
  <c r="M13" i="49"/>
  <c r="S22" i="49"/>
  <c r="U22" i="49" s="1"/>
  <c r="Y22" i="49" s="1"/>
  <c r="S12" i="49"/>
  <c r="U12" i="49" s="1"/>
  <c r="Y12" i="49" s="1"/>
  <c r="S9" i="49"/>
  <c r="U9" i="49" s="1"/>
  <c r="Y9" i="49" s="1"/>
  <c r="O35" i="59"/>
  <c r="U33" i="59"/>
  <c r="O30" i="59"/>
  <c r="U27" i="59"/>
  <c r="GK20" i="1"/>
  <c r="GK21" i="1" s="1"/>
  <c r="FZ23" i="1"/>
  <c r="KU10" i="1"/>
  <c r="LT10" i="1"/>
  <c r="LS10" i="1"/>
  <c r="LH10" i="1"/>
  <c r="LX10" i="1"/>
  <c r="LY10" i="1"/>
  <c r="LP10" i="1"/>
  <c r="LN10" i="1"/>
  <c r="LQ10" i="1"/>
  <c r="LJ10" i="1"/>
  <c r="LV10" i="1"/>
  <c r="LI10" i="1"/>
  <c r="LW10" i="1"/>
  <c r="LZ10" i="1"/>
  <c r="LE10" i="1"/>
  <c r="LO10" i="1"/>
  <c r="LL10" i="1"/>
  <c r="MB10" i="1"/>
  <c r="LK10" i="1"/>
  <c r="LF10" i="1"/>
  <c r="LU10" i="1"/>
  <c r="LM10" i="1"/>
  <c r="MA10" i="1"/>
  <c r="LG10" i="1"/>
  <c r="LR10" i="1"/>
  <c r="MC10" i="1"/>
  <c r="BT20" i="1"/>
  <c r="BT21" i="1" s="1"/>
  <c r="HG25" i="1"/>
  <c r="G19" i="49"/>
  <c r="GW21" i="1"/>
  <c r="G13" i="49"/>
  <c r="DE26" i="1"/>
  <c r="Z21" i="49"/>
  <c r="AA21" i="49" s="1"/>
  <c r="Z12" i="49"/>
  <c r="Z15" i="49"/>
  <c r="Z20" i="49"/>
  <c r="Z9" i="49"/>
  <c r="Z22" i="49"/>
  <c r="Z17" i="49"/>
  <c r="GX18" i="1"/>
  <c r="G22" i="69" s="1"/>
  <c r="U22" i="69" s="1"/>
  <c r="DE22" i="1"/>
  <c r="DF22" i="1"/>
  <c r="DI22" i="1" s="1"/>
  <c r="DJ22" i="1" s="1"/>
  <c r="DD23" i="1"/>
  <c r="DF24" i="1"/>
  <c r="DI24" i="1" s="1"/>
  <c r="DJ24" i="1" s="1"/>
  <c r="DE24" i="1"/>
  <c r="Q29" i="59"/>
  <c r="Q30" i="59" s="1"/>
  <c r="FV16" i="1"/>
  <c r="FV19" i="1" s="1"/>
  <c r="O23" i="59"/>
  <c r="DY21" i="1"/>
  <c r="DD20" i="1"/>
  <c r="Q24" i="59"/>
  <c r="BW25" i="1"/>
  <c r="E33" i="49"/>
  <c r="FS21" i="1"/>
  <c r="G20" i="59"/>
  <c r="DH7" i="1"/>
  <c r="DM7" i="1"/>
  <c r="DL20" i="1"/>
  <c r="DJ25" i="1"/>
  <c r="DJ14" i="1"/>
  <c r="DB21" i="1"/>
  <c r="Z18" i="49"/>
  <c r="AA18" i="49" s="1"/>
  <c r="DJ9" i="1"/>
  <c r="DQ15" i="1"/>
  <c r="DR15" i="1" s="1"/>
  <c r="NJ26" i="1"/>
  <c r="NK26" i="1" s="1"/>
  <c r="DJ26" i="1"/>
  <c r="DQ8" i="1"/>
  <c r="DR8" i="1" s="1"/>
  <c r="DQ17" i="1"/>
  <c r="DR17" i="1" s="1"/>
  <c r="DJ13" i="1"/>
  <c r="DJ6" i="1"/>
  <c r="DL23" i="1"/>
  <c r="GH21" i="1"/>
  <c r="DI10" i="1"/>
  <c r="DJ10" i="1" s="1"/>
  <c r="GX26" i="1"/>
  <c r="DQ11" i="1"/>
  <c r="IQ23" i="1"/>
  <c r="DV7" i="1"/>
  <c r="DW7" i="1"/>
  <c r="DW19" i="1" s="1"/>
  <c r="DT7" i="1"/>
  <c r="DT19" i="1" s="1"/>
  <c r="FZ13" i="1"/>
  <c r="GA13" i="1" s="1"/>
  <c r="IP23" i="1"/>
  <c r="AZ21" i="1"/>
  <c r="CC23" i="1"/>
  <c r="GX20" i="1"/>
  <c r="G23" i="69" s="1"/>
  <c r="U23" i="69" s="1"/>
  <c r="GN20" i="1"/>
  <c r="GN21" i="1" s="1"/>
  <c r="KQ23" i="1"/>
  <c r="MC23" i="1" s="1"/>
  <c r="HK20" i="1"/>
  <c r="HK21" i="1" s="1"/>
  <c r="T16" i="9"/>
  <c r="FZ17" i="1"/>
  <c r="GA17" i="1" s="1"/>
  <c r="GC17" i="1"/>
  <c r="FZ15" i="1"/>
  <c r="GA15" i="1" s="1"/>
  <c r="GC15" i="1"/>
  <c r="K114" i="9"/>
  <c r="H114" i="9"/>
  <c r="H124" i="9" s="1"/>
  <c r="N114" i="9"/>
  <c r="J114" i="9"/>
  <c r="E114" i="9"/>
  <c r="G114" i="9"/>
  <c r="I114" i="9"/>
  <c r="C114" i="9"/>
  <c r="S114" i="9"/>
  <c r="T123" i="9"/>
  <c r="B114" i="9"/>
  <c r="Q114" i="9"/>
  <c r="O114" i="9"/>
  <c r="R114" i="9"/>
  <c r="P114" i="9"/>
  <c r="D114" i="9"/>
  <c r="GC9" i="1"/>
  <c r="FZ9" i="1"/>
  <c r="GA9" i="1" s="1"/>
  <c r="FZ14" i="1"/>
  <c r="GA14" i="1" s="1"/>
  <c r="GC14" i="1"/>
  <c r="FZ16" i="1"/>
  <c r="GA16" i="1" s="1"/>
  <c r="GC16" i="1"/>
  <c r="FZ6" i="1"/>
  <c r="GA6" i="1" s="1"/>
  <c r="GC6" i="1"/>
  <c r="GC12" i="1"/>
  <c r="FZ12" i="1"/>
  <c r="GA12" i="1" s="1"/>
  <c r="S116" i="9"/>
  <c r="D116" i="9"/>
  <c r="R116" i="9"/>
  <c r="O116" i="9"/>
  <c r="B116" i="9"/>
  <c r="C116" i="9"/>
  <c r="E116" i="9"/>
  <c r="G116" i="9"/>
  <c r="H116" i="9"/>
  <c r="I116" i="9"/>
  <c r="Q116" i="9"/>
  <c r="P116" i="9"/>
  <c r="J116" i="9"/>
  <c r="N116" i="9"/>
  <c r="K116" i="9"/>
  <c r="FZ10" i="1"/>
  <c r="GA10" i="1" s="1"/>
  <c r="GC10" i="1"/>
  <c r="FZ5" i="1"/>
  <c r="GA5" i="1" s="1"/>
  <c r="GC5" i="1"/>
  <c r="GC11" i="1"/>
  <c r="FZ11" i="1"/>
  <c r="GA11" i="1" s="1"/>
  <c r="F116" i="9"/>
  <c r="FY27" i="1"/>
  <c r="FZ8" i="1"/>
  <c r="GA8" i="1" s="1"/>
  <c r="GC8" i="1"/>
  <c r="U16" i="9"/>
  <c r="FZ22" i="1"/>
  <c r="GC22" i="1"/>
  <c r="FZ18" i="1"/>
  <c r="GA18" i="1" s="1"/>
  <c r="GC18" i="1"/>
  <c r="FZ24" i="1"/>
  <c r="GC24" i="1"/>
  <c r="FZ25" i="1"/>
  <c r="GC25" i="1"/>
  <c r="F118" i="9"/>
  <c r="K118" i="9"/>
  <c r="E118" i="9"/>
  <c r="S118" i="9"/>
  <c r="C118" i="9"/>
  <c r="G118" i="9"/>
  <c r="T118" i="9"/>
  <c r="B118" i="9"/>
  <c r="J118" i="9"/>
  <c r="H118" i="9"/>
  <c r="D118" i="9"/>
  <c r="O118" i="9"/>
  <c r="P118" i="9"/>
  <c r="Q118" i="9"/>
  <c r="N118" i="9"/>
  <c r="I118" i="9"/>
  <c r="C28" i="10"/>
  <c r="E28" i="10"/>
  <c r="IQ13" i="1"/>
  <c r="IP13" i="1"/>
  <c r="HG15" i="1"/>
  <c r="FW19" i="1"/>
  <c r="IQ11" i="1"/>
  <c r="IP11" i="1"/>
  <c r="IG7" i="1"/>
  <c r="IK7" i="1" s="1"/>
  <c r="BY19" i="1"/>
  <c r="C35" i="10"/>
  <c r="KU15" i="1"/>
  <c r="DA7" i="1"/>
  <c r="KW8" i="1"/>
  <c r="KV8" i="1"/>
  <c r="E33" i="10"/>
  <c r="IQ12" i="1"/>
  <c r="IP12" i="1"/>
  <c r="MP20" i="1"/>
  <c r="BA19" i="1"/>
  <c r="KV13" i="1"/>
  <c r="KW13" i="1"/>
  <c r="BB19" i="1"/>
  <c r="BB20" i="1"/>
  <c r="BA20" i="1"/>
  <c r="FW21" i="1"/>
  <c r="C82" i="10"/>
  <c r="IP8" i="1"/>
  <c r="IQ8" i="1"/>
  <c r="IP15" i="1"/>
  <c r="IQ15" i="1"/>
  <c r="IP14" i="1"/>
  <c r="IQ14" i="1"/>
  <c r="GU7" i="1"/>
  <c r="GT19" i="1"/>
  <c r="IG20" i="1"/>
  <c r="IK20" i="1" s="1"/>
  <c r="HN20" i="1"/>
  <c r="HN21" i="1" s="1"/>
  <c r="GI7" i="1"/>
  <c r="GI19" i="1" s="1"/>
  <c r="GF7" i="1"/>
  <c r="GF19" i="1" s="1"/>
  <c r="FY7" i="1"/>
  <c r="FR7" i="1"/>
  <c r="GH7" i="1"/>
  <c r="FP19" i="1"/>
  <c r="BV7" i="1"/>
  <c r="GN27" i="1"/>
  <c r="IQ17" i="1"/>
  <c r="IP17" i="1"/>
  <c r="IQ24" i="1"/>
  <c r="IP24" i="1"/>
  <c r="BC27" i="1"/>
  <c r="IQ22" i="1"/>
  <c r="IP22" i="1"/>
  <c r="MP18" i="1"/>
  <c r="KO15" i="1"/>
  <c r="KL15" i="1"/>
  <c r="KM22" i="1"/>
  <c r="KQ22" i="1" s="1"/>
  <c r="CO9" i="1"/>
  <c r="BY24" i="1"/>
  <c r="CA24" i="1" s="1"/>
  <c r="JZ24" i="1"/>
  <c r="HG5" i="1"/>
  <c r="HL27" i="1"/>
  <c r="CJ25" i="1"/>
  <c r="CM25" i="1"/>
  <c r="CP25" i="1"/>
  <c r="CR25" i="1" s="1"/>
  <c r="CL25" i="1"/>
  <c r="CG9" i="1"/>
  <c r="JY9" i="1"/>
  <c r="HI27" i="1"/>
  <c r="BD27" i="1"/>
  <c r="O16" i="10"/>
  <c r="IQ6" i="1"/>
  <c r="IP6" i="1"/>
  <c r="DG27" i="1"/>
  <c r="MP26" i="1"/>
  <c r="GW27" i="1"/>
  <c r="IP10" i="1"/>
  <c r="IQ10" i="1"/>
  <c r="IP5" i="1"/>
  <c r="IQ5" i="1"/>
  <c r="HA18" i="1"/>
  <c r="KW17" i="1"/>
  <c r="KV17" i="1"/>
  <c r="IP9" i="1"/>
  <c r="IQ9" i="1"/>
  <c r="HB26" i="1"/>
  <c r="HN27" i="1"/>
  <c r="KM12" i="1"/>
  <c r="KQ12" i="1" s="1"/>
  <c r="DB27" i="1"/>
  <c r="HB18" i="1"/>
  <c r="HA26" i="1"/>
  <c r="HK27" i="1"/>
  <c r="CB19" i="1"/>
  <c r="BZ15" i="1"/>
  <c r="IP25" i="1"/>
  <c r="IQ25" i="1"/>
  <c r="IQ18" i="1"/>
  <c r="IP18" i="1"/>
  <c r="BS26" i="1"/>
  <c r="BP27" i="1"/>
  <c r="JZ9" i="1"/>
  <c r="KO9" i="1" s="1"/>
  <c r="KQ9" i="1" s="1"/>
  <c r="IQ16" i="1"/>
  <c r="IP16" i="1"/>
  <c r="CC22" i="1"/>
  <c r="IP26" i="1"/>
  <c r="IQ26" i="1"/>
  <c r="EY18" i="1" l="1"/>
  <c r="EL7" i="1"/>
  <c r="G21" i="73"/>
  <c r="I94" i="10"/>
  <c r="I33" i="10" s="1"/>
  <c r="LO6" i="1"/>
  <c r="EV22" i="1"/>
  <c r="I69" i="10" s="1"/>
  <c r="I27" i="10" s="1"/>
  <c r="LE6" i="1"/>
  <c r="EY17" i="1"/>
  <c r="EZ17" i="1" s="1"/>
  <c r="ES22" i="1"/>
  <c r="ES27" i="1" s="1"/>
  <c r="I38" i="10"/>
  <c r="U28" i="72"/>
  <c r="W27" i="73"/>
  <c r="W18" i="73"/>
  <c r="AC18" i="73" s="1"/>
  <c r="AC23" i="73"/>
  <c r="AL23" i="73" s="1"/>
  <c r="ES11" i="1"/>
  <c r="EV11" i="1"/>
  <c r="EW11" i="1" s="1"/>
  <c r="EX11" i="1" s="1"/>
  <c r="ES10" i="1"/>
  <c r="EV10" i="1"/>
  <c r="EY15" i="1"/>
  <c r="EZ15" i="1" s="1"/>
  <c r="EZ18" i="1"/>
  <c r="ET19" i="1"/>
  <c r="ET28" i="1" s="1"/>
  <c r="ER21" i="1"/>
  <c r="EX20" i="1"/>
  <c r="EY20" i="1"/>
  <c r="EY21" i="1" s="1"/>
  <c r="EX5" i="1"/>
  <c r="AO28" i="73"/>
  <c r="EY5" i="1"/>
  <c r="EY11" i="1"/>
  <c r="EY8" i="1"/>
  <c r="EZ8" i="1" s="1"/>
  <c r="EV27" i="1"/>
  <c r="EW22" i="1"/>
  <c r="EW27" i="1" s="1"/>
  <c r="ER27" i="1"/>
  <c r="EU19" i="1"/>
  <c r="EU28" i="1" s="1"/>
  <c r="AC25" i="73"/>
  <c r="AL25" i="73" s="1"/>
  <c r="Y19" i="59"/>
  <c r="U28" i="73"/>
  <c r="S28" i="73"/>
  <c r="U14" i="73"/>
  <c r="W14" i="73" s="1"/>
  <c r="AC14" i="73" s="1"/>
  <c r="AQ15" i="73"/>
  <c r="AI14" i="72"/>
  <c r="AI12" i="73"/>
  <c r="AH12" i="73" s="1"/>
  <c r="AF19" i="69"/>
  <c r="AQ16" i="72"/>
  <c r="AQ17" i="72" s="1"/>
  <c r="AC9" i="73"/>
  <c r="AI10" i="72"/>
  <c r="AI10" i="73"/>
  <c r="AH10" i="73" s="1"/>
  <c r="AF22" i="69"/>
  <c r="AR19" i="73"/>
  <c r="AL19" i="73"/>
  <c r="AG19" i="73"/>
  <c r="AA26" i="73"/>
  <c r="G15" i="73"/>
  <c r="AK18" i="73"/>
  <c r="AA24" i="73"/>
  <c r="AM27" i="72"/>
  <c r="M27" i="72" s="1"/>
  <c r="O27" i="72" s="1"/>
  <c r="M27" i="73"/>
  <c r="O27" i="73" s="1"/>
  <c r="AF23" i="69"/>
  <c r="U15" i="73"/>
  <c r="AI13" i="72"/>
  <c r="AI11" i="73"/>
  <c r="AH11" i="73" s="1"/>
  <c r="M20" i="73"/>
  <c r="AA22" i="73"/>
  <c r="M20" i="59"/>
  <c r="AC20" i="59"/>
  <c r="E21" i="72"/>
  <c r="Q21" i="72" s="1"/>
  <c r="Q30" i="72" s="1"/>
  <c r="AM29" i="72"/>
  <c r="M29" i="72" s="1"/>
  <c r="O29" i="72" s="1"/>
  <c r="M29" i="73"/>
  <c r="O29" i="73" s="1"/>
  <c r="W29" i="73" s="1"/>
  <c r="M35" i="73"/>
  <c r="O33" i="73"/>
  <c r="AK14" i="73"/>
  <c r="LQ6" i="1"/>
  <c r="LN6" i="1"/>
  <c r="LH6" i="1"/>
  <c r="LU6" i="1"/>
  <c r="LY6" i="1"/>
  <c r="LK6" i="1"/>
  <c r="LM6" i="1"/>
  <c r="MC6" i="1"/>
  <c r="LF6" i="1"/>
  <c r="LX6" i="1"/>
  <c r="LI6" i="1"/>
  <c r="LS6" i="1"/>
  <c r="MA6" i="1"/>
  <c r="LD6" i="1"/>
  <c r="LT6" i="1"/>
  <c r="LW6" i="1"/>
  <c r="LV6" i="1"/>
  <c r="LR6" i="1"/>
  <c r="LJ6" i="1"/>
  <c r="MB6" i="1"/>
  <c r="LZ6" i="1"/>
  <c r="LP6" i="1"/>
  <c r="LL6" i="1"/>
  <c r="BC20" i="1"/>
  <c r="BD20" i="1"/>
  <c r="BD21" i="1" s="1"/>
  <c r="CJ20" i="1"/>
  <c r="CJ21" i="1" s="1"/>
  <c r="KV11" i="1"/>
  <c r="KW11" i="1"/>
  <c r="CL20" i="1"/>
  <c r="CL21" i="1" s="1"/>
  <c r="BV20" i="1"/>
  <c r="E26" i="49" s="1"/>
  <c r="OR15" i="1"/>
  <c r="OG15" i="1"/>
  <c r="OT15" i="1"/>
  <c r="DQ5" i="1"/>
  <c r="DR5" i="1" s="1"/>
  <c r="OM15" i="1"/>
  <c r="OO15" i="1"/>
  <c r="OD15" i="1"/>
  <c r="OJ15" i="1"/>
  <c r="OB15" i="1"/>
  <c r="OE15" i="1"/>
  <c r="OF15" i="1"/>
  <c r="OL15" i="1"/>
  <c r="OA15" i="1"/>
  <c r="NW15" i="1"/>
  <c r="OC15" i="1"/>
  <c r="KW5" i="1"/>
  <c r="NX15" i="1"/>
  <c r="OI15" i="1"/>
  <c r="OH15" i="1"/>
  <c r="OP15" i="1"/>
  <c r="OQ15" i="1"/>
  <c r="ON15" i="1"/>
  <c r="OS15" i="1"/>
  <c r="NL15" i="1"/>
  <c r="NZ15" i="1"/>
  <c r="NY15" i="1"/>
  <c r="DH27" i="1"/>
  <c r="U34" i="59"/>
  <c r="O20" i="59"/>
  <c r="U20" i="59" s="1"/>
  <c r="KV5" i="1"/>
  <c r="NN9" i="1"/>
  <c r="NN11" i="1"/>
  <c r="NM11" i="1"/>
  <c r="NM9" i="1"/>
  <c r="G82" i="10"/>
  <c r="G16" i="10" s="1"/>
  <c r="DH19" i="1"/>
  <c r="KW18" i="1"/>
  <c r="KV18" i="1"/>
  <c r="KW16" i="1"/>
  <c r="AI15" i="72"/>
  <c r="O35" i="72"/>
  <c r="AO12" i="72"/>
  <c r="Q12" i="72"/>
  <c r="Q16" i="72"/>
  <c r="Q15" i="72"/>
  <c r="Q14" i="72"/>
  <c r="AO24" i="72"/>
  <c r="Q11" i="72"/>
  <c r="AO29" i="72"/>
  <c r="AO20" i="72"/>
  <c r="AO28" i="72"/>
  <c r="AO25" i="72"/>
  <c r="Q9" i="72"/>
  <c r="AO23" i="72"/>
  <c r="W23" i="72" s="1"/>
  <c r="AO33" i="72"/>
  <c r="AA33" i="72" s="1"/>
  <c r="AA35" i="72" s="1"/>
  <c r="AO11" i="72"/>
  <c r="AO27" i="72"/>
  <c r="Q13" i="72"/>
  <c r="Q10" i="72"/>
  <c r="AO26" i="72"/>
  <c r="AO22" i="72"/>
  <c r="O20" i="72"/>
  <c r="Q9" i="69"/>
  <c r="S9" i="69" s="1"/>
  <c r="MQ18" i="1"/>
  <c r="NF18" i="1" s="1"/>
  <c r="NH18" i="1" s="1"/>
  <c r="OC18" i="1" s="1"/>
  <c r="KV16" i="1"/>
  <c r="M23" i="69"/>
  <c r="HF26" i="1"/>
  <c r="HF18" i="1"/>
  <c r="HG18" i="1" s="1"/>
  <c r="AB22" i="69" s="1"/>
  <c r="M22" i="69"/>
  <c r="Q22" i="69"/>
  <c r="AC17" i="69"/>
  <c r="HC26" i="1"/>
  <c r="AB31" i="69"/>
  <c r="AB19" i="69"/>
  <c r="AC12" i="69"/>
  <c r="AC15" i="69"/>
  <c r="AC20" i="69"/>
  <c r="AB9" i="69"/>
  <c r="W13" i="69"/>
  <c r="AA13" i="69" s="1"/>
  <c r="NM25" i="1"/>
  <c r="NN25" i="1"/>
  <c r="NL5" i="1"/>
  <c r="NN13" i="1"/>
  <c r="NM13" i="1"/>
  <c r="MQ26" i="1"/>
  <c r="NF26" i="1" s="1"/>
  <c r="NH26" i="1" s="1"/>
  <c r="NY26" i="1" s="1"/>
  <c r="G32" i="69"/>
  <c r="G33" i="69" s="1"/>
  <c r="U9" i="69"/>
  <c r="Q23" i="69"/>
  <c r="OR5" i="1"/>
  <c r="OQ5" i="1"/>
  <c r="OA5" i="1"/>
  <c r="OK5" i="1"/>
  <c r="OH5" i="1"/>
  <c r="NX5" i="1"/>
  <c r="NY5" i="1"/>
  <c r="OM5" i="1"/>
  <c r="OJ5" i="1"/>
  <c r="OB5" i="1"/>
  <c r="OE5" i="1"/>
  <c r="OT5" i="1"/>
  <c r="NW5" i="1"/>
  <c r="OG5" i="1"/>
  <c r="ON5" i="1"/>
  <c r="OL5" i="1"/>
  <c r="OO5" i="1"/>
  <c r="NZ5" i="1"/>
  <c r="OC5" i="1"/>
  <c r="OD5" i="1"/>
  <c r="OP5" i="1"/>
  <c r="OI5" i="1"/>
  <c r="OF5" i="1"/>
  <c r="OS5" i="1"/>
  <c r="AC14" i="69"/>
  <c r="U19" i="69"/>
  <c r="S19" i="69"/>
  <c r="NM24" i="1"/>
  <c r="NN24" i="1"/>
  <c r="AA12" i="49"/>
  <c r="AA20" i="49"/>
  <c r="AA14" i="49"/>
  <c r="AA9" i="49"/>
  <c r="W22" i="59"/>
  <c r="Y22" i="59" s="1"/>
  <c r="AA17" i="49"/>
  <c r="AA22" i="49"/>
  <c r="S13" i="49"/>
  <c r="U13" i="49" s="1"/>
  <c r="Y13" i="49" s="1"/>
  <c r="S19" i="49"/>
  <c r="U19" i="49" s="1"/>
  <c r="Y19" i="49" s="1"/>
  <c r="U23" i="59"/>
  <c r="U29" i="59"/>
  <c r="BY25" i="1"/>
  <c r="BZ25" i="1" s="1"/>
  <c r="JZ25" i="1"/>
  <c r="KO25" i="1" s="1"/>
  <c r="BZ19" i="1"/>
  <c r="KV10" i="1"/>
  <c r="KW10" i="1"/>
  <c r="GX21" i="1"/>
  <c r="DL21" i="1"/>
  <c r="BA21" i="1"/>
  <c r="BB21" i="1"/>
  <c r="DE23" i="1"/>
  <c r="DF23" i="1"/>
  <c r="DF27" i="1" s="1"/>
  <c r="DD27" i="1"/>
  <c r="E11" i="59"/>
  <c r="DM20" i="1"/>
  <c r="DK16" i="1"/>
  <c r="DR11" i="1"/>
  <c r="DQ10" i="1"/>
  <c r="DP10" i="1"/>
  <c r="DK6" i="1"/>
  <c r="DK13" i="1"/>
  <c r="DK12" i="1"/>
  <c r="DK26" i="1"/>
  <c r="DK9" i="1"/>
  <c r="DK22" i="1"/>
  <c r="DK24" i="1"/>
  <c r="DK14" i="1"/>
  <c r="G33" i="49"/>
  <c r="CB25" i="1"/>
  <c r="DK25" i="1"/>
  <c r="DD21" i="1"/>
  <c r="DE20" i="1"/>
  <c r="GB25" i="1"/>
  <c r="GD25" i="1" s="1"/>
  <c r="W16" i="59"/>
  <c r="Y16" i="59" s="1"/>
  <c r="W10" i="59"/>
  <c r="Y10" i="59" s="1"/>
  <c r="GB16" i="1"/>
  <c r="GD16" i="1" s="1"/>
  <c r="W27" i="59"/>
  <c r="Y27" i="59" s="1"/>
  <c r="W21" i="59"/>
  <c r="Y21" i="59" s="1"/>
  <c r="W13" i="59"/>
  <c r="Y13" i="59" s="1"/>
  <c r="W15" i="59"/>
  <c r="Y15" i="59" s="1"/>
  <c r="GB15" i="1"/>
  <c r="GD15" i="1" s="1"/>
  <c r="BW7" i="1"/>
  <c r="E11" i="49"/>
  <c r="AA15" i="49"/>
  <c r="O109" i="10"/>
  <c r="DN25" i="1"/>
  <c r="DM23" i="1"/>
  <c r="DM27" i="1" s="1"/>
  <c r="DY27" i="1"/>
  <c r="DQ25" i="1"/>
  <c r="DQ16" i="1"/>
  <c r="DN16" i="1"/>
  <c r="DQ14" i="1"/>
  <c r="DN14" i="1"/>
  <c r="LO23" i="1"/>
  <c r="LN23" i="1"/>
  <c r="LQ23" i="1"/>
  <c r="DN22" i="1"/>
  <c r="DQ22" i="1"/>
  <c r="DQ12" i="1"/>
  <c r="DQ26" i="1"/>
  <c r="DN12" i="1"/>
  <c r="DQ9" i="1"/>
  <c r="DN26" i="1"/>
  <c r="DQ6" i="1"/>
  <c r="DN9" i="1"/>
  <c r="DN13" i="1"/>
  <c r="DQ13" i="1"/>
  <c r="HA20" i="1"/>
  <c r="DN24" i="1"/>
  <c r="LH23" i="1"/>
  <c r="DQ24" i="1"/>
  <c r="GX27" i="1"/>
  <c r="DN6" i="1"/>
  <c r="DL27" i="1"/>
  <c r="FS7" i="1"/>
  <c r="G94" i="10" s="1"/>
  <c r="W31" i="49"/>
  <c r="Y31" i="49" s="1"/>
  <c r="DB7" i="1"/>
  <c r="DG7" i="1"/>
  <c r="DL7" i="1"/>
  <c r="MQ20" i="1"/>
  <c r="NF20" i="1" s="1"/>
  <c r="NH20" i="1" s="1"/>
  <c r="OD20" i="1" s="1"/>
  <c r="LF23" i="1"/>
  <c r="LZ23" i="1"/>
  <c r="LE23" i="1"/>
  <c r="LD23" i="1"/>
  <c r="MA23" i="1"/>
  <c r="LY23" i="1"/>
  <c r="LI23" i="1"/>
  <c r="LR23" i="1"/>
  <c r="LM23" i="1"/>
  <c r="MB23" i="1"/>
  <c r="LL23" i="1"/>
  <c r="LP23" i="1"/>
  <c r="LU23" i="1"/>
  <c r="LV23" i="1"/>
  <c r="LK23" i="1"/>
  <c r="LS23" i="1"/>
  <c r="LT23" i="1"/>
  <c r="LJ23" i="1"/>
  <c r="LG23" i="1"/>
  <c r="LX23" i="1"/>
  <c r="LW23" i="1"/>
  <c r="GC20" i="1"/>
  <c r="GC21" i="1" s="1"/>
  <c r="T114" i="9"/>
  <c r="FZ20" i="1"/>
  <c r="G75" i="10"/>
  <c r="T116" i="9"/>
  <c r="M75" i="10"/>
  <c r="F26" i="10"/>
  <c r="E12" i="10"/>
  <c r="F27" i="10"/>
  <c r="F28" i="10"/>
  <c r="CO25" i="1"/>
  <c r="C12" i="10"/>
  <c r="D28" i="10"/>
  <c r="D27" i="10"/>
  <c r="D26" i="10"/>
  <c r="BC21" i="1"/>
  <c r="GK7" i="1"/>
  <c r="GH19" i="1"/>
  <c r="CA15" i="1"/>
  <c r="CA19" i="1" s="1"/>
  <c r="JY20" i="1"/>
  <c r="FX7" i="1"/>
  <c r="FR19" i="1"/>
  <c r="G97" i="10"/>
  <c r="E82" i="10"/>
  <c r="C16" i="10"/>
  <c r="C88" i="10"/>
  <c r="JA7" i="1"/>
  <c r="JU7" i="1"/>
  <c r="JS7" i="1"/>
  <c r="JK7" i="1"/>
  <c r="JN7" i="1"/>
  <c r="JR7" i="1"/>
  <c r="JC7" i="1"/>
  <c r="JG7" i="1"/>
  <c r="JF7" i="1"/>
  <c r="IZ7" i="1"/>
  <c r="JE7" i="1"/>
  <c r="JM7" i="1"/>
  <c r="JD7" i="1"/>
  <c r="JB7" i="1"/>
  <c r="JI7" i="1"/>
  <c r="JW7" i="1"/>
  <c r="JP7" i="1"/>
  <c r="JJ7" i="1"/>
  <c r="JT7" i="1"/>
  <c r="JO7" i="1"/>
  <c r="JQ7" i="1"/>
  <c r="JH7" i="1"/>
  <c r="JV7" i="1"/>
  <c r="JL7" i="1"/>
  <c r="GN7" i="1"/>
  <c r="GL19" i="1"/>
  <c r="DY19" i="1"/>
  <c r="FY19" i="1"/>
  <c r="G85" i="10"/>
  <c r="JD20" i="1"/>
  <c r="JS20" i="1"/>
  <c r="IX20" i="1"/>
  <c r="JW20" i="1"/>
  <c r="JU20" i="1"/>
  <c r="JF20" i="1"/>
  <c r="JM20" i="1"/>
  <c r="JK20" i="1"/>
  <c r="IZ20" i="1"/>
  <c r="JA20" i="1"/>
  <c r="JJ20" i="1"/>
  <c r="JC20" i="1"/>
  <c r="JR20" i="1"/>
  <c r="JI20" i="1"/>
  <c r="JP20" i="1"/>
  <c r="JO20" i="1"/>
  <c r="JE20" i="1"/>
  <c r="JG20" i="1"/>
  <c r="JB20" i="1"/>
  <c r="JT20" i="1"/>
  <c r="JV20" i="1"/>
  <c r="IY20" i="1"/>
  <c r="JL20" i="1"/>
  <c r="JQ20" i="1"/>
  <c r="JH20" i="1"/>
  <c r="JN20" i="1"/>
  <c r="DV19" i="1"/>
  <c r="CP7" i="1"/>
  <c r="CL7" i="1"/>
  <c r="CM7" i="1"/>
  <c r="CM19" i="1" s="1"/>
  <c r="CJ7" i="1"/>
  <c r="CJ19" i="1" s="1"/>
  <c r="BT19" i="1"/>
  <c r="HB20" i="1"/>
  <c r="HB21" i="1" s="1"/>
  <c r="E35" i="10"/>
  <c r="D33" i="10"/>
  <c r="D35" i="10"/>
  <c r="D34" i="10"/>
  <c r="DA19" i="1"/>
  <c r="M97" i="10"/>
  <c r="HL7" i="1"/>
  <c r="HL19" i="1" s="1"/>
  <c r="HI7" i="1"/>
  <c r="HI19" i="1" s="1"/>
  <c r="HK7" i="1"/>
  <c r="HN7" i="1"/>
  <c r="GW7" i="1"/>
  <c r="GU19" i="1"/>
  <c r="LP9" i="1"/>
  <c r="LH9" i="1"/>
  <c r="LU9" i="1"/>
  <c r="LR9" i="1"/>
  <c r="LW9" i="1"/>
  <c r="LI9" i="1"/>
  <c r="LT9" i="1"/>
  <c r="LK9" i="1"/>
  <c r="LL9" i="1"/>
  <c r="LQ9" i="1"/>
  <c r="LO9" i="1"/>
  <c r="LN9" i="1"/>
  <c r="LG9" i="1"/>
  <c r="MC9" i="1"/>
  <c r="LJ9" i="1"/>
  <c r="MA9" i="1"/>
  <c r="LX9" i="1"/>
  <c r="MB9" i="1"/>
  <c r="LY9" i="1"/>
  <c r="LV9" i="1"/>
  <c r="LM9" i="1"/>
  <c r="LS9" i="1"/>
  <c r="LF9" i="1"/>
  <c r="LZ9" i="1"/>
  <c r="FZ26" i="1"/>
  <c r="GC26" i="1"/>
  <c r="FW27" i="1"/>
  <c r="BT26" i="1"/>
  <c r="BS27" i="1"/>
  <c r="CG25" i="1"/>
  <c r="JY25" i="1"/>
  <c r="BZ24" i="1"/>
  <c r="CC12" i="1"/>
  <c r="LF22" i="1"/>
  <c r="LJ22" i="1"/>
  <c r="LN22" i="1"/>
  <c r="LR22" i="1"/>
  <c r="LV22" i="1"/>
  <c r="LZ22" i="1"/>
  <c r="LG22" i="1"/>
  <c r="LK22" i="1"/>
  <c r="LO22" i="1"/>
  <c r="LS22" i="1"/>
  <c r="LW22" i="1"/>
  <c r="MA22" i="1"/>
  <c r="LH22" i="1"/>
  <c r="LL22" i="1"/>
  <c r="LP22" i="1"/>
  <c r="LT22" i="1"/>
  <c r="LX22" i="1"/>
  <c r="MB22" i="1"/>
  <c r="MC22" i="1"/>
  <c r="LQ22" i="1"/>
  <c r="LE22" i="1"/>
  <c r="LY22" i="1"/>
  <c r="LM22" i="1"/>
  <c r="LU22" i="1"/>
  <c r="LI22" i="1"/>
  <c r="W30" i="49"/>
  <c r="Y30" i="49" s="1"/>
  <c r="KU9" i="1"/>
  <c r="HB27" i="1"/>
  <c r="GB23" i="1"/>
  <c r="OB26" i="1"/>
  <c r="KS6" i="1"/>
  <c r="KT6" i="1" s="1"/>
  <c r="KL24" i="1"/>
  <c r="KO24" i="1"/>
  <c r="KU24" i="1"/>
  <c r="KM15" i="1"/>
  <c r="KQ15" i="1" s="1"/>
  <c r="HA27" i="1"/>
  <c r="MA12" i="1"/>
  <c r="LO12" i="1"/>
  <c r="LX12" i="1"/>
  <c r="LG12" i="1"/>
  <c r="LJ12" i="1"/>
  <c r="LZ12" i="1"/>
  <c r="LR12" i="1"/>
  <c r="LW12" i="1"/>
  <c r="LF12" i="1"/>
  <c r="LL12" i="1"/>
  <c r="MC12" i="1"/>
  <c r="LH12" i="1"/>
  <c r="LK12" i="1"/>
  <c r="LU12" i="1"/>
  <c r="LP12" i="1"/>
  <c r="LQ12" i="1"/>
  <c r="LM12" i="1"/>
  <c r="LY12" i="1"/>
  <c r="LV12" i="1"/>
  <c r="LT12" i="1"/>
  <c r="LN12" i="1"/>
  <c r="MB12" i="1"/>
  <c r="LI12" i="1"/>
  <c r="LS12" i="1"/>
  <c r="CH9" i="1"/>
  <c r="EX22" i="1" l="1"/>
  <c r="O63" i="10"/>
  <c r="EW10" i="1"/>
  <c r="EX10" i="1" s="1"/>
  <c r="EZ10" i="1" s="1"/>
  <c r="AI18" i="73" s="1"/>
  <c r="C13" i="39"/>
  <c r="I35" i="10"/>
  <c r="J33" i="10"/>
  <c r="W27" i="72"/>
  <c r="EL19" i="1"/>
  <c r="EL28" i="1" s="1"/>
  <c r="EN7" i="1"/>
  <c r="EM7" i="1"/>
  <c r="AR23" i="73"/>
  <c r="AR25" i="73"/>
  <c r="E30" i="72"/>
  <c r="E37" i="72" s="1"/>
  <c r="AG23" i="73"/>
  <c r="AG25" i="73"/>
  <c r="AL18" i="73"/>
  <c r="EZ11" i="1"/>
  <c r="AI19" i="73" s="1"/>
  <c r="AH19" i="73" s="1"/>
  <c r="EZ22" i="1"/>
  <c r="EX27" i="1"/>
  <c r="EX21" i="1"/>
  <c r="EZ20" i="1"/>
  <c r="EZ21" i="1" s="1"/>
  <c r="AC22" i="73"/>
  <c r="AR22" i="73" s="1"/>
  <c r="EZ5" i="1"/>
  <c r="U16" i="72"/>
  <c r="U17" i="72" s="1"/>
  <c r="AC24" i="73"/>
  <c r="AG24" i="73" s="1"/>
  <c r="AI12" i="72"/>
  <c r="W15" i="73"/>
  <c r="AA29" i="72"/>
  <c r="O20" i="73"/>
  <c r="W20" i="73" s="1"/>
  <c r="AA27" i="73"/>
  <c r="M11" i="59"/>
  <c r="AA29" i="73"/>
  <c r="G21" i="72"/>
  <c r="U21" i="72" s="1"/>
  <c r="U30" i="72" s="1"/>
  <c r="G30" i="73"/>
  <c r="G37" i="73" s="1"/>
  <c r="AL14" i="73"/>
  <c r="AG14" i="73"/>
  <c r="Q21" i="73"/>
  <c r="AO21" i="73"/>
  <c r="AO30" i="73" s="1"/>
  <c r="E30" i="73"/>
  <c r="E37" i="73" s="1"/>
  <c r="AM28" i="72"/>
  <c r="M28" i="72" s="1"/>
  <c r="O28" i="72" s="1"/>
  <c r="W28" i="72" s="1"/>
  <c r="M28" i="73"/>
  <c r="O28" i="73" s="1"/>
  <c r="W28" i="73" s="1"/>
  <c r="AI9" i="72"/>
  <c r="AI9" i="73"/>
  <c r="AH9" i="73" s="1"/>
  <c r="O35" i="73"/>
  <c r="W33" i="73"/>
  <c r="AA33" i="73"/>
  <c r="AA35" i="73" s="1"/>
  <c r="AC26" i="73"/>
  <c r="AC15" i="73"/>
  <c r="AL9" i="73"/>
  <c r="AG9" i="73"/>
  <c r="CP20" i="1"/>
  <c r="CP21" i="1" s="1"/>
  <c r="CM20" i="1"/>
  <c r="CM21" i="1" s="1"/>
  <c r="ON26" i="1"/>
  <c r="KW6" i="1"/>
  <c r="KV6" i="1"/>
  <c r="OL26" i="1"/>
  <c r="OO26" i="1"/>
  <c r="OP26" i="1"/>
  <c r="OD26" i="1"/>
  <c r="OR26" i="1"/>
  <c r="OA26" i="1"/>
  <c r="BW20" i="1"/>
  <c r="BW21" i="1" s="1"/>
  <c r="CG20" i="1"/>
  <c r="BV21" i="1"/>
  <c r="U35" i="59"/>
  <c r="NW26" i="1"/>
  <c r="OH26" i="1"/>
  <c r="OI26" i="1"/>
  <c r="OM26" i="1"/>
  <c r="OG26" i="1"/>
  <c r="OJ26" i="1"/>
  <c r="OK26" i="1"/>
  <c r="OQ26" i="1"/>
  <c r="OE26" i="1"/>
  <c r="NL26" i="1"/>
  <c r="NX26" i="1"/>
  <c r="NZ26" i="1"/>
  <c r="OT26" i="1"/>
  <c r="OC26" i="1"/>
  <c r="NV26" i="1"/>
  <c r="OS26" i="1"/>
  <c r="NU26" i="1"/>
  <c r="OF26" i="1"/>
  <c r="DH28" i="1"/>
  <c r="OI18" i="1"/>
  <c r="OM18" i="1"/>
  <c r="OP18" i="1"/>
  <c r="OS18" i="1"/>
  <c r="OD18" i="1"/>
  <c r="OG18" i="1"/>
  <c r="OF18" i="1"/>
  <c r="NY18" i="1"/>
  <c r="OE18" i="1"/>
  <c r="CA25" i="1"/>
  <c r="CC25" i="1" s="1"/>
  <c r="OK18" i="1"/>
  <c r="OR18" i="1"/>
  <c r="NZ18" i="1"/>
  <c r="OO18" i="1"/>
  <c r="OJ18" i="1"/>
  <c r="OH18" i="1"/>
  <c r="OT18" i="1"/>
  <c r="OB18" i="1"/>
  <c r="HF27" i="1"/>
  <c r="NN15" i="1"/>
  <c r="NM15" i="1"/>
  <c r="KL25" i="1"/>
  <c r="KM25" i="1" s="1"/>
  <c r="KQ25" i="1" s="1"/>
  <c r="KU25" i="1"/>
  <c r="NL18" i="1"/>
  <c r="NW18" i="1"/>
  <c r="OA18" i="1"/>
  <c r="NX18" i="1"/>
  <c r="OL18" i="1"/>
  <c r="OQ18" i="1"/>
  <c r="ON18" i="1"/>
  <c r="AA23" i="72"/>
  <c r="AC23" i="72" s="1"/>
  <c r="AG23" i="72" s="1"/>
  <c r="W29" i="72"/>
  <c r="AA27" i="72"/>
  <c r="AC27" i="72" s="1"/>
  <c r="AG27" i="72" s="1"/>
  <c r="W20" i="72"/>
  <c r="AA20" i="72"/>
  <c r="AK10" i="72"/>
  <c r="W10" i="72"/>
  <c r="AC10" i="72" s="1"/>
  <c r="AG10" i="72" s="1"/>
  <c r="W11" i="72"/>
  <c r="AC11" i="72" s="1"/>
  <c r="AG11" i="72" s="1"/>
  <c r="AK11" i="72"/>
  <c r="W33" i="72"/>
  <c r="W13" i="72"/>
  <c r="AC13" i="72" s="1"/>
  <c r="AG13" i="72" s="1"/>
  <c r="AK13" i="72"/>
  <c r="AA24" i="72"/>
  <c r="W24" i="72"/>
  <c r="AK16" i="72"/>
  <c r="W22" i="72"/>
  <c r="AA22" i="72"/>
  <c r="Q17" i="72"/>
  <c r="Q37" i="72" s="1"/>
  <c r="W9" i="72"/>
  <c r="AK9" i="72"/>
  <c r="W14" i="72"/>
  <c r="AC14" i="72" s="1"/>
  <c r="AG14" i="72" s="1"/>
  <c r="AK14" i="72"/>
  <c r="W12" i="72"/>
  <c r="AC12" i="72" s="1"/>
  <c r="AG12" i="72" s="1"/>
  <c r="AK12" i="72"/>
  <c r="AA26" i="72"/>
  <c r="W26" i="72"/>
  <c r="W25" i="72"/>
  <c r="AA25" i="72"/>
  <c r="W15" i="72"/>
  <c r="AC15" i="72" s="1"/>
  <c r="AG15" i="72" s="1"/>
  <c r="AK15" i="72"/>
  <c r="S23" i="69"/>
  <c r="W23" i="69" s="1"/>
  <c r="AA23" i="69" s="1"/>
  <c r="HA21" i="1"/>
  <c r="HF20" i="1"/>
  <c r="HD26" i="1"/>
  <c r="Y32" i="69" s="1"/>
  <c r="HC27" i="1"/>
  <c r="W19" i="69"/>
  <c r="AA19" i="69" s="1"/>
  <c r="NN5" i="1"/>
  <c r="NM5" i="1"/>
  <c r="E11" i="69"/>
  <c r="S22" i="69"/>
  <c r="W22" i="69" s="1"/>
  <c r="AA22" i="69" s="1"/>
  <c r="AC13" i="69"/>
  <c r="W9" i="69"/>
  <c r="AA9" i="69" s="1"/>
  <c r="W34" i="59"/>
  <c r="Y34" i="59" s="1"/>
  <c r="E27" i="49"/>
  <c r="S33" i="49"/>
  <c r="U33" i="49" s="1"/>
  <c r="U30" i="59"/>
  <c r="DO25" i="1"/>
  <c r="FS19" i="1"/>
  <c r="DM21" i="1"/>
  <c r="E24" i="59"/>
  <c r="Z13" i="49"/>
  <c r="AA13" i="49" s="1"/>
  <c r="G26" i="49"/>
  <c r="DD7" i="1"/>
  <c r="G11" i="59"/>
  <c r="AC11" i="59" s="1"/>
  <c r="G11" i="49"/>
  <c r="W28" i="59"/>
  <c r="Y28" i="59" s="1"/>
  <c r="DE27" i="1"/>
  <c r="BY20" i="1"/>
  <c r="BY21" i="1" s="1"/>
  <c r="W33" i="59"/>
  <c r="Y33" i="59" s="1"/>
  <c r="GB6" i="1"/>
  <c r="GD6" i="1" s="1"/>
  <c r="Z10" i="59" s="1"/>
  <c r="AA10" i="59" s="1"/>
  <c r="GB13" i="1"/>
  <c r="GD13" i="1" s="1"/>
  <c r="Z16" i="59" s="1"/>
  <c r="AA16" i="59" s="1"/>
  <c r="GB8" i="1"/>
  <c r="W12" i="59"/>
  <c r="Y12" i="59" s="1"/>
  <c r="GB10" i="1"/>
  <c r="GD10" i="1" s="1"/>
  <c r="GB11" i="1"/>
  <c r="W14" i="59"/>
  <c r="Y14" i="59" s="1"/>
  <c r="GB22" i="1"/>
  <c r="GD22" i="1" s="1"/>
  <c r="GB17" i="1"/>
  <c r="GD17" i="1" s="1"/>
  <c r="W18" i="59"/>
  <c r="Y18" i="59" s="1"/>
  <c r="GB24" i="1"/>
  <c r="GD24" i="1" s="1"/>
  <c r="W23" i="59"/>
  <c r="Y23" i="59" s="1"/>
  <c r="GB14" i="1"/>
  <c r="GD14" i="1" s="1"/>
  <c r="W17" i="59"/>
  <c r="Y17" i="59" s="1"/>
  <c r="GB12" i="1"/>
  <c r="GD12" i="1" s="1"/>
  <c r="GB5" i="1"/>
  <c r="GD5" i="1" s="1"/>
  <c r="W9" i="59"/>
  <c r="Y9" i="59" s="1"/>
  <c r="Z33" i="59"/>
  <c r="AA33" i="59" s="1"/>
  <c r="GB9" i="1"/>
  <c r="GD9" i="1" s="1"/>
  <c r="Z29" i="59"/>
  <c r="AA29" i="59" s="1"/>
  <c r="W29" i="59"/>
  <c r="Y29" i="59" s="1"/>
  <c r="Y30" i="59" s="1"/>
  <c r="Z28" i="59"/>
  <c r="AA28" i="59" s="1"/>
  <c r="DE21" i="1"/>
  <c r="DO22" i="1"/>
  <c r="DO13" i="1"/>
  <c r="DO12" i="1"/>
  <c r="DO9" i="1"/>
  <c r="DO16" i="1"/>
  <c r="DO14" i="1"/>
  <c r="DO6" i="1"/>
  <c r="KS23" i="1"/>
  <c r="KT23" i="1" s="1"/>
  <c r="FZ21" i="1"/>
  <c r="M11" i="49"/>
  <c r="E23" i="49"/>
  <c r="DI23" i="1"/>
  <c r="DJ23" i="1" s="1"/>
  <c r="DR10" i="1"/>
  <c r="DO24" i="1"/>
  <c r="ON20" i="1"/>
  <c r="DB19" i="1"/>
  <c r="NW20" i="1"/>
  <c r="OC20" i="1"/>
  <c r="OI20" i="1"/>
  <c r="GX7" i="1"/>
  <c r="G11" i="69" s="1"/>
  <c r="OH20" i="1"/>
  <c r="OQ20" i="1"/>
  <c r="OR20" i="1"/>
  <c r="M94" i="10"/>
  <c r="OT20" i="1"/>
  <c r="NV20" i="1"/>
  <c r="OK20" i="1"/>
  <c r="OJ20" i="1"/>
  <c r="OP20" i="1"/>
  <c r="NU20" i="1"/>
  <c r="NZ20" i="1"/>
  <c r="NL20" i="1"/>
  <c r="OE20" i="1"/>
  <c r="OB20" i="1"/>
  <c r="OG20" i="1"/>
  <c r="OA20" i="1"/>
  <c r="OS20" i="1"/>
  <c r="NX20" i="1"/>
  <c r="NY20" i="1"/>
  <c r="OM20" i="1"/>
  <c r="OL20" i="1"/>
  <c r="OO20" i="1"/>
  <c r="OF20" i="1"/>
  <c r="KW23" i="1"/>
  <c r="KV23" i="1"/>
  <c r="BV26" i="1"/>
  <c r="CC15" i="1"/>
  <c r="CC19" i="1" s="1"/>
  <c r="JZ20" i="1"/>
  <c r="KU20" i="1" s="1"/>
  <c r="CR20" i="1"/>
  <c r="CR21" i="1" s="1"/>
  <c r="M72" i="10"/>
  <c r="GB18" i="1"/>
  <c r="GD18" i="1" s="1"/>
  <c r="G72" i="10"/>
  <c r="CF23" i="1"/>
  <c r="CH23" i="1" s="1"/>
  <c r="C18" i="10"/>
  <c r="G34" i="10"/>
  <c r="GK19" i="1"/>
  <c r="IP20" i="1"/>
  <c r="IQ20" i="1"/>
  <c r="E16" i="10"/>
  <c r="E88" i="10"/>
  <c r="FX19" i="1"/>
  <c r="FZ7" i="1"/>
  <c r="GA7" i="1" s="1"/>
  <c r="GC7" i="1"/>
  <c r="CG7" i="1"/>
  <c r="JY7" i="1"/>
  <c r="BV19" i="1"/>
  <c r="MP7" i="1"/>
  <c r="GW19" i="1"/>
  <c r="O97" i="10"/>
  <c r="DM19" i="1"/>
  <c r="HB7" i="1"/>
  <c r="HN19" i="1"/>
  <c r="M34" i="10"/>
  <c r="HA7" i="1"/>
  <c r="HK19" i="1"/>
  <c r="GN19" i="1"/>
  <c r="DG19" i="1"/>
  <c r="CO7" i="1"/>
  <c r="CL19" i="1"/>
  <c r="DL19" i="1"/>
  <c r="IP7" i="1"/>
  <c r="IQ7" i="1"/>
  <c r="G33" i="10"/>
  <c r="CF6" i="1"/>
  <c r="F33" i="10"/>
  <c r="F35" i="10"/>
  <c r="F34" i="10"/>
  <c r="CR7" i="1"/>
  <c r="CP19" i="1"/>
  <c r="G17" i="10"/>
  <c r="KS12" i="1"/>
  <c r="KT12" i="1" s="1"/>
  <c r="FZ27" i="1"/>
  <c r="KM24" i="1"/>
  <c r="KQ24" i="1" s="1"/>
  <c r="GC27" i="1"/>
  <c r="CF22" i="1"/>
  <c r="KS22" i="1"/>
  <c r="KT22" i="1" s="1"/>
  <c r="DO26" i="1"/>
  <c r="KV9" i="1"/>
  <c r="KW9" i="1"/>
  <c r="LU15" i="1"/>
  <c r="MC15" i="1"/>
  <c r="LZ15" i="1"/>
  <c r="LL15" i="1"/>
  <c r="LF15" i="1"/>
  <c r="LM15" i="1"/>
  <c r="MB15" i="1"/>
  <c r="LV15" i="1"/>
  <c r="LK15" i="1"/>
  <c r="LI15" i="1"/>
  <c r="LR15" i="1"/>
  <c r="LY15" i="1"/>
  <c r="LT15" i="1"/>
  <c r="LS15" i="1"/>
  <c r="LW15" i="1"/>
  <c r="LG15" i="1"/>
  <c r="LP15" i="1"/>
  <c r="MA15" i="1"/>
  <c r="LO15" i="1"/>
  <c r="LH15" i="1"/>
  <c r="LQ15" i="1"/>
  <c r="LJ15" i="1"/>
  <c r="LN15" i="1"/>
  <c r="LX15" i="1"/>
  <c r="GD23" i="1"/>
  <c r="Z22" i="59" s="1"/>
  <c r="AA22" i="59" s="1"/>
  <c r="KW22" i="1"/>
  <c r="KV22" i="1"/>
  <c r="CJ26" i="1"/>
  <c r="CP26" i="1"/>
  <c r="CM26" i="1"/>
  <c r="CL26" i="1"/>
  <c r="BT27" i="1"/>
  <c r="KW12" i="1"/>
  <c r="KV12" i="1"/>
  <c r="I66" i="10" l="1"/>
  <c r="I26" i="10" s="1"/>
  <c r="I28" i="10" s="1"/>
  <c r="C9" i="39" s="1"/>
  <c r="EQ7" i="1"/>
  <c r="ER7" i="1" s="1"/>
  <c r="ES7" i="1" s="1"/>
  <c r="ES19" i="1" s="1"/>
  <c r="ES28" i="1" s="1"/>
  <c r="EN19" i="1"/>
  <c r="EN28" i="1" s="1"/>
  <c r="AA28" i="72"/>
  <c r="AM21" i="73"/>
  <c r="EM19" i="1"/>
  <c r="EM28" i="1" s="1"/>
  <c r="AO21" i="72"/>
  <c r="AO30" i="72" s="1"/>
  <c r="CO20" i="1"/>
  <c r="O66" i="10"/>
  <c r="EZ27" i="1"/>
  <c r="AI27" i="73"/>
  <c r="J35" i="10"/>
  <c r="J34" i="10"/>
  <c r="Q30" i="73"/>
  <c r="Q37" i="73" s="1"/>
  <c r="W16" i="72"/>
  <c r="AC16" i="72" s="1"/>
  <c r="AG16" i="72" s="1"/>
  <c r="U37" i="72"/>
  <c r="AC29" i="72"/>
  <c r="AG29" i="72" s="1"/>
  <c r="AG18" i="73"/>
  <c r="AL22" i="73"/>
  <c r="AR24" i="73"/>
  <c r="AR18" i="73"/>
  <c r="AL24" i="73"/>
  <c r="AG22" i="73"/>
  <c r="AG15" i="73"/>
  <c r="AQ21" i="73"/>
  <c r="AQ30" i="73" s="1"/>
  <c r="S21" i="72"/>
  <c r="S30" i="72" s="1"/>
  <c r="S37" i="72" s="1"/>
  <c r="U21" i="73"/>
  <c r="U30" i="73" s="1"/>
  <c r="U37" i="73" s="1"/>
  <c r="Y35" i="59"/>
  <c r="AA32" i="69"/>
  <c r="AA33" i="69" s="1"/>
  <c r="G30" i="72"/>
  <c r="G37" i="72" s="1"/>
  <c r="AE39" i="72" s="1"/>
  <c r="AQ21" i="72"/>
  <c r="AQ30" i="72" s="1"/>
  <c r="AA20" i="73"/>
  <c r="AF11" i="69"/>
  <c r="AA28" i="73"/>
  <c r="AC29" i="73"/>
  <c r="S21" i="73"/>
  <c r="S30" i="73" s="1"/>
  <c r="S37" i="73" s="1"/>
  <c r="AI11" i="72"/>
  <c r="AH11" i="72" s="1"/>
  <c r="AG26" i="73"/>
  <c r="AR26" i="73"/>
  <c r="AL26" i="73"/>
  <c r="W35" i="73"/>
  <c r="AC33" i="73"/>
  <c r="AE39" i="73"/>
  <c r="AC27" i="73"/>
  <c r="AL23" i="72"/>
  <c r="AC22" i="69"/>
  <c r="AC28" i="72"/>
  <c r="CB20" i="1"/>
  <c r="CB21" i="1" s="1"/>
  <c r="NM26" i="1"/>
  <c r="NN26" i="1"/>
  <c r="NM18" i="1"/>
  <c r="NN18" i="1"/>
  <c r="AR23" i="72"/>
  <c r="AC26" i="72"/>
  <c r="AG26" i="72" s="1"/>
  <c r="AC24" i="72"/>
  <c r="AG24" i="72" s="1"/>
  <c r="AC22" i="72"/>
  <c r="AG22" i="72" s="1"/>
  <c r="AC25" i="72"/>
  <c r="AG25" i="72" s="1"/>
  <c r="AL16" i="72"/>
  <c r="AC33" i="72"/>
  <c r="AG33" i="72" s="1"/>
  <c r="AG35" i="72" s="1"/>
  <c r="W35" i="72"/>
  <c r="AL10" i="72"/>
  <c r="AH10" i="72"/>
  <c r="AR12" i="72"/>
  <c r="AL12" i="72"/>
  <c r="AL13" i="72"/>
  <c r="AH13" i="72"/>
  <c r="AC20" i="72"/>
  <c r="AG20" i="72" s="1"/>
  <c r="AL15" i="72"/>
  <c r="AH15" i="72"/>
  <c r="AC9" i="72"/>
  <c r="AG9" i="72" s="1"/>
  <c r="AG17" i="72" s="1"/>
  <c r="W17" i="72"/>
  <c r="AL11" i="72"/>
  <c r="AR11" i="72"/>
  <c r="AH12" i="72"/>
  <c r="AL14" i="72"/>
  <c r="AH14" i="72"/>
  <c r="AL27" i="72"/>
  <c r="AR27" i="72"/>
  <c r="AE35" i="72"/>
  <c r="HC28" i="1"/>
  <c r="CR19" i="1"/>
  <c r="CO19" i="1"/>
  <c r="Q11" i="69"/>
  <c r="Q27" i="69" s="1"/>
  <c r="Q35" i="69" s="1"/>
  <c r="M24" i="59"/>
  <c r="O11" i="59"/>
  <c r="O79" i="10"/>
  <c r="HE26" i="1"/>
  <c r="HD27" i="1"/>
  <c r="HF21" i="1"/>
  <c r="HG20" i="1"/>
  <c r="HF7" i="1"/>
  <c r="BZ20" i="1"/>
  <c r="BZ21" i="1" s="1"/>
  <c r="AF27" i="69"/>
  <c r="AF35" i="69" s="1"/>
  <c r="M11" i="69"/>
  <c r="E27" i="69"/>
  <c r="E35" i="69" s="1"/>
  <c r="AC25" i="69"/>
  <c r="AC9" i="69"/>
  <c r="U11" i="69"/>
  <c r="U27" i="69" s="1"/>
  <c r="U35" i="69" s="1"/>
  <c r="G27" i="69"/>
  <c r="G35" i="69" s="1"/>
  <c r="DP25" i="1"/>
  <c r="DR25" i="1" s="1"/>
  <c r="AI33" i="73" s="1"/>
  <c r="DP9" i="1"/>
  <c r="DR9" i="1" s="1"/>
  <c r="AC24" i="59"/>
  <c r="W11" i="59"/>
  <c r="G23" i="49"/>
  <c r="S26" i="49"/>
  <c r="S27" i="49" s="1"/>
  <c r="W35" i="59"/>
  <c r="W30" i="59"/>
  <c r="GA21" i="1"/>
  <c r="CO21" i="1"/>
  <c r="E34" i="49"/>
  <c r="S11" i="49"/>
  <c r="S23" i="49" s="1"/>
  <c r="G27" i="49"/>
  <c r="Z31" i="49"/>
  <c r="G24" i="59"/>
  <c r="DE7" i="1"/>
  <c r="DF7" i="1"/>
  <c r="DD19" i="1"/>
  <c r="GC19" i="1"/>
  <c r="DP26" i="1"/>
  <c r="DP12" i="1"/>
  <c r="DR12" i="1" s="1"/>
  <c r="DP13" i="1"/>
  <c r="DP24" i="1"/>
  <c r="DR24" i="1" s="1"/>
  <c r="DP16" i="1"/>
  <c r="DR16" i="1" s="1"/>
  <c r="DN23" i="1"/>
  <c r="DO23" i="1" s="1"/>
  <c r="DP6" i="1"/>
  <c r="DR6" i="1" s="1"/>
  <c r="DP14" i="1"/>
  <c r="DR14" i="1" s="1"/>
  <c r="DP22" i="1"/>
  <c r="DR22" i="1" s="1"/>
  <c r="Z19" i="59"/>
  <c r="AA19" i="59" s="1"/>
  <c r="Z9" i="59"/>
  <c r="AA9" i="59" s="1"/>
  <c r="Z18" i="59"/>
  <c r="AA18" i="59" s="1"/>
  <c r="Z15" i="59"/>
  <c r="AA15" i="59" s="1"/>
  <c r="Z21" i="59"/>
  <c r="AA21" i="59" s="1"/>
  <c r="Z13" i="59"/>
  <c r="AA13" i="59" s="1"/>
  <c r="GB20" i="1"/>
  <c r="GB21" i="1" s="1"/>
  <c r="W20" i="59"/>
  <c r="Y20" i="59" s="1"/>
  <c r="Z17" i="59"/>
  <c r="AA17" i="59" s="1"/>
  <c r="GD11" i="1"/>
  <c r="Z23" i="59"/>
  <c r="AA23" i="59" s="1"/>
  <c r="GD8" i="1"/>
  <c r="Z27" i="59"/>
  <c r="AA27" i="59" s="1"/>
  <c r="M16" i="10"/>
  <c r="DF21" i="1"/>
  <c r="DI20" i="1"/>
  <c r="DJ20" i="1" s="1"/>
  <c r="DQ23" i="1"/>
  <c r="DQ27" i="1" s="1"/>
  <c r="DK23" i="1"/>
  <c r="DK27" i="1" s="1"/>
  <c r="DJ27" i="1"/>
  <c r="M23" i="49"/>
  <c r="M37" i="49" s="1"/>
  <c r="KL20" i="1"/>
  <c r="KM20" i="1" s="1"/>
  <c r="KO20" i="1"/>
  <c r="GX19" i="1"/>
  <c r="MQ7" i="1"/>
  <c r="NF7" i="1" s="1"/>
  <c r="NH7" i="1" s="1"/>
  <c r="OI7" i="1" s="1"/>
  <c r="NN20" i="1"/>
  <c r="G63" i="10"/>
  <c r="BW26" i="1"/>
  <c r="NM20" i="1"/>
  <c r="O94" i="10"/>
  <c r="O33" i="10" s="1"/>
  <c r="F13" i="39" s="1"/>
  <c r="G66" i="10"/>
  <c r="G26" i="10" s="1"/>
  <c r="M33" i="10"/>
  <c r="G103" i="10"/>
  <c r="G21" i="10" s="1"/>
  <c r="C106" i="10"/>
  <c r="C45" i="10" s="1"/>
  <c r="HB19" i="1"/>
  <c r="E18" i="10"/>
  <c r="CH6" i="1"/>
  <c r="JZ7" i="1"/>
  <c r="KO7" i="1" s="1"/>
  <c r="KQ7" i="1" s="1"/>
  <c r="BW19" i="1"/>
  <c r="O34" i="10"/>
  <c r="HA19" i="1"/>
  <c r="G35" i="10"/>
  <c r="H35" i="10" s="1"/>
  <c r="G69" i="10"/>
  <c r="G27" i="10" s="1"/>
  <c r="FZ19" i="1"/>
  <c r="CH7" i="1"/>
  <c r="CG19" i="1"/>
  <c r="G38" i="10"/>
  <c r="M38" i="10"/>
  <c r="C23" i="10"/>
  <c r="C30" i="10" s="1"/>
  <c r="D16" i="10"/>
  <c r="D15" i="10"/>
  <c r="D17" i="10"/>
  <c r="D18" i="10"/>
  <c r="CF12" i="1"/>
  <c r="LP25" i="1"/>
  <c r="LI25" i="1"/>
  <c r="LZ25" i="1"/>
  <c r="MC25" i="1"/>
  <c r="LS25" i="1"/>
  <c r="LL25" i="1"/>
  <c r="MA25" i="1"/>
  <c r="LV25" i="1"/>
  <c r="LQ25" i="1"/>
  <c r="MB25" i="1"/>
  <c r="LR25" i="1"/>
  <c r="LF25" i="1"/>
  <c r="LO25" i="1"/>
  <c r="LT25" i="1"/>
  <c r="LK25" i="1"/>
  <c r="LH25" i="1"/>
  <c r="LJ25" i="1"/>
  <c r="LG25" i="1"/>
  <c r="LX25" i="1"/>
  <c r="LY25" i="1"/>
  <c r="LU25" i="1"/>
  <c r="LM25" i="1"/>
  <c r="LN25" i="1"/>
  <c r="LW25" i="1"/>
  <c r="CM27" i="1"/>
  <c r="CR26" i="1"/>
  <c r="CP27" i="1"/>
  <c r="CJ27" i="1"/>
  <c r="GB26" i="1"/>
  <c r="GA27" i="1"/>
  <c r="CG26" i="1"/>
  <c r="K97" i="10"/>
  <c r="JY26" i="1"/>
  <c r="BV27" i="1"/>
  <c r="KV15" i="1"/>
  <c r="KW15" i="1"/>
  <c r="CH22" i="1"/>
  <c r="LX24" i="1"/>
  <c r="LR24" i="1"/>
  <c r="LH24" i="1"/>
  <c r="LG24" i="1"/>
  <c r="LK24" i="1"/>
  <c r="LY24" i="1"/>
  <c r="LW24" i="1"/>
  <c r="MC24" i="1"/>
  <c r="LO24" i="1"/>
  <c r="LZ24" i="1"/>
  <c r="LI24" i="1"/>
  <c r="LU24" i="1"/>
  <c r="LN24" i="1"/>
  <c r="LF24" i="1"/>
  <c r="MA24" i="1"/>
  <c r="LQ24" i="1"/>
  <c r="LS24" i="1"/>
  <c r="LV24" i="1"/>
  <c r="MB24" i="1"/>
  <c r="LJ24" i="1"/>
  <c r="LL24" i="1"/>
  <c r="LP24" i="1"/>
  <c r="LT24" i="1"/>
  <c r="LM24" i="1"/>
  <c r="W33" i="49"/>
  <c r="Y33" i="49" s="1"/>
  <c r="CL27" i="1"/>
  <c r="CO26" i="1"/>
  <c r="CC24" i="1"/>
  <c r="EY7" i="1" l="1"/>
  <c r="EY19" i="1" s="1"/>
  <c r="EY28" i="1" s="1"/>
  <c r="J27" i="10"/>
  <c r="J28" i="10"/>
  <c r="J26" i="10"/>
  <c r="I103" i="10"/>
  <c r="I21" i="10" s="1"/>
  <c r="ER19" i="1"/>
  <c r="ER28" i="1" s="1"/>
  <c r="I85" i="10"/>
  <c r="I17" i="10" s="1"/>
  <c r="EV7" i="1"/>
  <c r="AL29" i="72"/>
  <c r="AR29" i="72"/>
  <c r="AI26" i="72"/>
  <c r="AH26" i="73"/>
  <c r="AM21" i="72"/>
  <c r="AI29" i="72"/>
  <c r="AH29" i="72" s="1"/>
  <c r="AH29" i="73"/>
  <c r="AI23" i="72"/>
  <c r="AH23" i="72" s="1"/>
  <c r="AH23" i="73"/>
  <c r="AL27" i="73"/>
  <c r="AG27" i="73"/>
  <c r="AR27" i="73"/>
  <c r="AI27" i="72"/>
  <c r="AH27" i="72" s="1"/>
  <c r="AH27" i="73"/>
  <c r="AG29" i="73"/>
  <c r="AR29" i="73"/>
  <c r="AL29" i="73"/>
  <c r="AI25" i="72"/>
  <c r="AH25" i="72" s="1"/>
  <c r="AH25" i="73"/>
  <c r="Y33" i="69"/>
  <c r="Y35" i="69" s="1"/>
  <c r="AC28" i="73"/>
  <c r="AC20" i="73"/>
  <c r="AI20" i="72"/>
  <c r="AH20" i="72" s="1"/>
  <c r="AI22" i="72"/>
  <c r="AH22" i="72" s="1"/>
  <c r="AH22" i="73"/>
  <c r="AH18" i="73"/>
  <c r="AH33" i="73"/>
  <c r="AG33" i="73"/>
  <c r="AG35" i="73" s="1"/>
  <c r="AC35" i="73"/>
  <c r="AR33" i="73"/>
  <c r="AL33" i="73"/>
  <c r="AL28" i="72"/>
  <c r="AG28" i="72"/>
  <c r="AR22" i="72"/>
  <c r="AR24" i="72"/>
  <c r="AL26" i="72"/>
  <c r="AR28" i="72"/>
  <c r="CA20" i="1"/>
  <c r="CA21" i="1" s="1"/>
  <c r="O103" i="10"/>
  <c r="O21" i="10" s="1"/>
  <c r="HF19" i="1"/>
  <c r="HG7" i="1"/>
  <c r="AB11" i="69" s="1"/>
  <c r="AL24" i="72"/>
  <c r="AH26" i="72"/>
  <c r="AR26" i="72"/>
  <c r="AL22" i="72"/>
  <c r="AL25" i="72"/>
  <c r="AR25" i="72"/>
  <c r="AL20" i="72"/>
  <c r="AR20" i="72"/>
  <c r="AC17" i="72"/>
  <c r="AL9" i="72"/>
  <c r="AH9" i="72"/>
  <c r="AL33" i="72"/>
  <c r="AR33" i="72"/>
  <c r="AC35" i="72"/>
  <c r="M21" i="72"/>
  <c r="AM30" i="72"/>
  <c r="AM37" i="72" s="1"/>
  <c r="AI33" i="72"/>
  <c r="AH33" i="72" s="1"/>
  <c r="DR26" i="1"/>
  <c r="O26" i="10"/>
  <c r="HG26" i="1"/>
  <c r="HE27" i="1"/>
  <c r="HG21" i="1"/>
  <c r="AB23" i="69"/>
  <c r="O15" i="10"/>
  <c r="O88" i="10"/>
  <c r="AC24" i="69"/>
  <c r="Y37" i="69"/>
  <c r="BW27" i="1"/>
  <c r="S11" i="69"/>
  <c r="M27" i="69"/>
  <c r="M35" i="69" s="1"/>
  <c r="AC10" i="69"/>
  <c r="U26" i="49"/>
  <c r="Y26" i="49" s="1"/>
  <c r="Y27" i="49" s="1"/>
  <c r="E35" i="49"/>
  <c r="U11" i="59"/>
  <c r="Y11" i="59" s="1"/>
  <c r="Y24" i="59" s="1"/>
  <c r="Y37" i="59" s="1"/>
  <c r="O24" i="59"/>
  <c r="U11" i="49"/>
  <c r="Y11" i="49" s="1"/>
  <c r="Y23" i="49" s="1"/>
  <c r="DN27" i="1"/>
  <c r="CB26" i="1"/>
  <c r="W24" i="59"/>
  <c r="E13" i="39"/>
  <c r="Z30" i="49"/>
  <c r="Z10" i="49"/>
  <c r="Z11" i="49"/>
  <c r="CH12" i="1"/>
  <c r="DF19" i="1"/>
  <c r="DI7" i="1"/>
  <c r="DJ7" i="1" s="1"/>
  <c r="DE19" i="1"/>
  <c r="DP23" i="1"/>
  <c r="DR23" i="1" s="1"/>
  <c r="DR13" i="1"/>
  <c r="Z12" i="59"/>
  <c r="AA12" i="59" s="1"/>
  <c r="Z14" i="59"/>
  <c r="AA14" i="59" s="1"/>
  <c r="DK20" i="1"/>
  <c r="DQ20" i="1"/>
  <c r="DJ21" i="1"/>
  <c r="DN20" i="1"/>
  <c r="OF7" i="1"/>
  <c r="OO7" i="1"/>
  <c r="OD7" i="1"/>
  <c r="OB7" i="1"/>
  <c r="OJ7" i="1"/>
  <c r="ON7" i="1"/>
  <c r="OG7" i="1"/>
  <c r="OL7" i="1"/>
  <c r="OR7" i="1"/>
  <c r="DO27" i="1"/>
  <c r="CD19" i="1"/>
  <c r="OA7" i="1"/>
  <c r="OE7" i="1"/>
  <c r="NY7" i="1"/>
  <c r="OP7" i="1"/>
  <c r="OS7" i="1"/>
  <c r="NW7" i="1"/>
  <c r="OQ7" i="1"/>
  <c r="OH7" i="1"/>
  <c r="NX7" i="1"/>
  <c r="OK7" i="1"/>
  <c r="OT7" i="1"/>
  <c r="OM7" i="1"/>
  <c r="NZ7" i="1"/>
  <c r="OC7" i="1"/>
  <c r="G34" i="49"/>
  <c r="KQ20" i="1"/>
  <c r="LI20" i="1" s="1"/>
  <c r="GD20" i="1"/>
  <c r="K94" i="10"/>
  <c r="K33" i="10" s="1"/>
  <c r="BY26" i="1"/>
  <c r="CA26" i="1" s="1"/>
  <c r="JZ26" i="1"/>
  <c r="KO26" i="1" s="1"/>
  <c r="G79" i="10"/>
  <c r="NL7" i="1"/>
  <c r="M35" i="10"/>
  <c r="N34" i="10" s="1"/>
  <c r="KS15" i="1"/>
  <c r="KT15" i="1" s="1"/>
  <c r="E45" i="10"/>
  <c r="H34" i="10"/>
  <c r="O35" i="10"/>
  <c r="O38" i="10"/>
  <c r="LO7" i="1"/>
  <c r="LS7" i="1"/>
  <c r="LF7" i="1"/>
  <c r="LR7" i="1"/>
  <c r="LP7" i="1"/>
  <c r="LU7" i="1"/>
  <c r="LL7" i="1"/>
  <c r="MA7" i="1"/>
  <c r="LI7" i="1"/>
  <c r="MC7" i="1"/>
  <c r="LX7" i="1"/>
  <c r="LM7" i="1"/>
  <c r="LG7" i="1"/>
  <c r="LN7" i="1"/>
  <c r="LZ7" i="1"/>
  <c r="MB7" i="1"/>
  <c r="LT7" i="1"/>
  <c r="LY7" i="1"/>
  <c r="LH7" i="1"/>
  <c r="LK7" i="1"/>
  <c r="LQ7" i="1"/>
  <c r="LV7" i="1"/>
  <c r="LW7" i="1"/>
  <c r="LJ7" i="1"/>
  <c r="F15" i="10"/>
  <c r="F18" i="10"/>
  <c r="F16" i="10"/>
  <c r="E23" i="10"/>
  <c r="E30" i="10" s="1"/>
  <c r="F17" i="10"/>
  <c r="C39" i="10"/>
  <c r="GB7" i="1"/>
  <c r="GA19" i="1"/>
  <c r="KU7" i="1"/>
  <c r="H33" i="10"/>
  <c r="G28" i="10"/>
  <c r="K34" i="10"/>
  <c r="CG28" i="1"/>
  <c r="K103" i="10"/>
  <c r="KW24" i="1"/>
  <c r="KV24" i="1"/>
  <c r="W32" i="49"/>
  <c r="Y32" i="49" s="1"/>
  <c r="CR27" i="1"/>
  <c r="CO27" i="1"/>
  <c r="GD26" i="1"/>
  <c r="Z34" i="59" s="1"/>
  <c r="AA34" i="59" s="1"/>
  <c r="GB27" i="1"/>
  <c r="CF25" i="1"/>
  <c r="CH25" i="1" s="1"/>
  <c r="KS25" i="1"/>
  <c r="KT25" i="1" s="1"/>
  <c r="KW25" i="1"/>
  <c r="KV25" i="1"/>
  <c r="I63" i="10" l="1"/>
  <c r="EV19" i="1"/>
  <c r="EV28" i="1" s="1"/>
  <c r="EW7" i="1"/>
  <c r="AI34" i="72"/>
  <c r="AH34" i="72" s="1"/>
  <c r="AI34" i="73"/>
  <c r="AH34" i="73" s="1"/>
  <c r="M21" i="73"/>
  <c r="AM30" i="73"/>
  <c r="AM37" i="73" s="1"/>
  <c r="AI24" i="72"/>
  <c r="AH24" i="72" s="1"/>
  <c r="AH24" i="73"/>
  <c r="AI28" i="72"/>
  <c r="AH28" i="72" s="1"/>
  <c r="AH28" i="73"/>
  <c r="AG20" i="73"/>
  <c r="AL20" i="73"/>
  <c r="AR20" i="73"/>
  <c r="AH20" i="73"/>
  <c r="AR28" i="73"/>
  <c r="AL28" i="73"/>
  <c r="AG28" i="73"/>
  <c r="HG19" i="1"/>
  <c r="CC20" i="1"/>
  <c r="CC21" i="1" s="1"/>
  <c r="O21" i="72"/>
  <c r="M30" i="72"/>
  <c r="M37" i="72" s="1"/>
  <c r="D13" i="39"/>
  <c r="O18" i="10"/>
  <c r="O23" i="10" s="1"/>
  <c r="AB32" i="69"/>
  <c r="HG27" i="1"/>
  <c r="O28" i="10"/>
  <c r="AB33" i="69" s="1"/>
  <c r="AC33" i="69" s="1"/>
  <c r="AC16" i="69"/>
  <c r="W11" i="69"/>
  <c r="AA11" i="69" s="1"/>
  <c r="AA27" i="69" s="1"/>
  <c r="AA35" i="69" s="1"/>
  <c r="S27" i="69"/>
  <c r="S35" i="69" s="1"/>
  <c r="AC31" i="69"/>
  <c r="E37" i="49"/>
  <c r="U24" i="59"/>
  <c r="AA11" i="49"/>
  <c r="BY27" i="1"/>
  <c r="BZ26" i="1"/>
  <c r="Z16" i="49"/>
  <c r="AA16" i="49" s="1"/>
  <c r="G15" i="10"/>
  <c r="G18" i="10" s="1"/>
  <c r="M85" i="10"/>
  <c r="M17" i="10" s="1"/>
  <c r="DQ21" i="1"/>
  <c r="Z33" i="49"/>
  <c r="DK7" i="1"/>
  <c r="DN7" i="1"/>
  <c r="DQ7" i="1"/>
  <c r="DJ19" i="1"/>
  <c r="DP27" i="1"/>
  <c r="LJ20" i="1"/>
  <c r="DO20" i="1"/>
  <c r="DN21" i="1"/>
  <c r="LY20" i="1"/>
  <c r="LK20" i="1"/>
  <c r="NN7" i="1"/>
  <c r="O106" i="10" s="1"/>
  <c r="O45" i="10" s="1"/>
  <c r="G35" i="49"/>
  <c r="S34" i="49"/>
  <c r="DR27" i="1"/>
  <c r="GD21" i="1"/>
  <c r="Z20" i="59"/>
  <c r="AA20" i="59" s="1"/>
  <c r="NM7" i="1"/>
  <c r="KU26" i="1"/>
  <c r="KL26" i="1"/>
  <c r="KM26" i="1" s="1"/>
  <c r="KQ26" i="1" s="1"/>
  <c r="LV20" i="1"/>
  <c r="LR20" i="1"/>
  <c r="MC20" i="1"/>
  <c r="LG20" i="1"/>
  <c r="LQ20" i="1"/>
  <c r="LT20" i="1"/>
  <c r="LF20" i="1"/>
  <c r="LP20" i="1"/>
  <c r="LU20" i="1"/>
  <c r="LM20" i="1"/>
  <c r="LE20" i="1"/>
  <c r="MA20" i="1"/>
  <c r="LZ20" i="1"/>
  <c r="LH20" i="1"/>
  <c r="LW20" i="1"/>
  <c r="LL20" i="1"/>
  <c r="LX20" i="1"/>
  <c r="LS20" i="1"/>
  <c r="MB20" i="1"/>
  <c r="LD20" i="1"/>
  <c r="LN20" i="1"/>
  <c r="LO20" i="1"/>
  <c r="G88" i="10"/>
  <c r="DK21" i="1"/>
  <c r="N33" i="10"/>
  <c r="N35" i="10"/>
  <c r="CF15" i="1"/>
  <c r="CF19" i="1" s="1"/>
  <c r="CE19" i="1"/>
  <c r="C42" i="10"/>
  <c r="C40" i="10"/>
  <c r="E39" i="10"/>
  <c r="P34" i="10"/>
  <c r="P35" i="10"/>
  <c r="P33" i="10"/>
  <c r="GD7" i="1"/>
  <c r="Z11" i="59" s="1"/>
  <c r="AA11" i="59" s="1"/>
  <c r="GB19" i="1"/>
  <c r="KW7" i="1"/>
  <c r="KV7" i="1"/>
  <c r="KS20" i="1"/>
  <c r="KT20" i="1" s="1"/>
  <c r="K38" i="10"/>
  <c r="CF24" i="1"/>
  <c r="CH24" i="1" s="1"/>
  <c r="KS24" i="1"/>
  <c r="KT24" i="1" s="1"/>
  <c r="CB27" i="1"/>
  <c r="K21" i="10"/>
  <c r="H26" i="10"/>
  <c r="H27" i="10"/>
  <c r="H28" i="10"/>
  <c r="K35" i="10"/>
  <c r="GD27" i="1"/>
  <c r="I79" i="10" l="1"/>
  <c r="EW19" i="1"/>
  <c r="EW28" i="1" s="1"/>
  <c r="EX7" i="1"/>
  <c r="O30" i="10"/>
  <c r="F19" i="39" s="1"/>
  <c r="O21" i="73"/>
  <c r="W21" i="73" s="1"/>
  <c r="M30" i="73"/>
  <c r="M37" i="73" s="1"/>
  <c r="AD35" i="69"/>
  <c r="K82" i="10"/>
  <c r="BZ27" i="1"/>
  <c r="AI3" i="72"/>
  <c r="AJ3" i="72" s="1"/>
  <c r="AA21" i="72"/>
  <c r="W21" i="72"/>
  <c r="O30" i="72"/>
  <c r="O37" i="72" s="1"/>
  <c r="P27" i="10"/>
  <c r="F9" i="39"/>
  <c r="P26" i="10"/>
  <c r="P28" i="10"/>
  <c r="O12" i="10"/>
  <c r="F8" i="39" s="1"/>
  <c r="F11" i="39"/>
  <c r="P18" i="10"/>
  <c r="P17" i="10"/>
  <c r="P15" i="10"/>
  <c r="P16" i="10"/>
  <c r="F17" i="39"/>
  <c r="AB35" i="69"/>
  <c r="AC26" i="69"/>
  <c r="AC11" i="69"/>
  <c r="W27" i="69"/>
  <c r="W35" i="69" s="1"/>
  <c r="G37" i="49"/>
  <c r="F10" i="39"/>
  <c r="D42" i="10"/>
  <c r="Z32" i="49"/>
  <c r="M103" i="10"/>
  <c r="M21" i="10" s="1"/>
  <c r="M63" i="10"/>
  <c r="DQ19" i="1"/>
  <c r="DO7" i="1"/>
  <c r="AE30" i="72" s="1"/>
  <c r="AE37" i="72" s="1"/>
  <c r="DN19" i="1"/>
  <c r="DP20" i="1"/>
  <c r="DO21" i="1"/>
  <c r="M66" i="10"/>
  <c r="M26" i="10" s="1"/>
  <c r="U34" i="49"/>
  <c r="S35" i="49"/>
  <c r="S37" i="49" s="1"/>
  <c r="CD21" i="1"/>
  <c r="CE21" i="1"/>
  <c r="G12" i="10"/>
  <c r="KW20" i="1"/>
  <c r="KV20" i="1"/>
  <c r="CH15" i="1"/>
  <c r="K69" i="10"/>
  <c r="K27" i="10" s="1"/>
  <c r="D39" i="10"/>
  <c r="D40" i="10"/>
  <c r="D38" i="10"/>
  <c r="D43" i="10"/>
  <c r="GD19" i="1"/>
  <c r="E42" i="10"/>
  <c r="E40" i="10"/>
  <c r="CF20" i="1"/>
  <c r="LD26" i="1"/>
  <c r="LQ26" i="1"/>
  <c r="LS26" i="1"/>
  <c r="LR26" i="1"/>
  <c r="LN26" i="1"/>
  <c r="MA26" i="1"/>
  <c r="MB26" i="1"/>
  <c r="LL26" i="1"/>
  <c r="LW26" i="1"/>
  <c r="LP26" i="1"/>
  <c r="LI26" i="1"/>
  <c r="LT26" i="1"/>
  <c r="LU26" i="1"/>
  <c r="LG26" i="1"/>
  <c r="MC26" i="1"/>
  <c r="LM26" i="1"/>
  <c r="LY26" i="1"/>
  <c r="LV26" i="1"/>
  <c r="LJ26" i="1"/>
  <c r="LO26" i="1"/>
  <c r="LF26" i="1"/>
  <c r="LE26" i="1"/>
  <c r="LK26" i="1"/>
  <c r="LZ26" i="1"/>
  <c r="LH26" i="1"/>
  <c r="LX26" i="1"/>
  <c r="H17" i="10"/>
  <c r="H16" i="10"/>
  <c r="H15" i="10"/>
  <c r="H18" i="10"/>
  <c r="G23" i="10"/>
  <c r="G30" i="10" s="1"/>
  <c r="Z39" i="59" s="1"/>
  <c r="CA27" i="1"/>
  <c r="L34" i="10"/>
  <c r="L35" i="10"/>
  <c r="L33" i="10"/>
  <c r="CC26" i="1"/>
  <c r="EZ7" i="1" l="1"/>
  <c r="EX19" i="1"/>
  <c r="EX28" i="1"/>
  <c r="I88" i="10"/>
  <c r="I15" i="10"/>
  <c r="AI3" i="73"/>
  <c r="AJ3" i="73" s="1"/>
  <c r="AA21" i="73"/>
  <c r="O30" i="73"/>
  <c r="O37" i="73" s="1"/>
  <c r="K16" i="10"/>
  <c r="AC35" i="69"/>
  <c r="AK3" i="72"/>
  <c r="AC21" i="72"/>
  <c r="W30" i="72"/>
  <c r="W37" i="72" s="1"/>
  <c r="AA30" i="72"/>
  <c r="AA37" i="72" s="1"/>
  <c r="AK30" i="72"/>
  <c r="CF21" i="1"/>
  <c r="AC19" i="69"/>
  <c r="M79" i="10"/>
  <c r="M15" i="10" s="1"/>
  <c r="M18" i="10" s="1"/>
  <c r="W39" i="49"/>
  <c r="F42" i="10"/>
  <c r="Z37" i="59"/>
  <c r="M69" i="10"/>
  <c r="M27" i="10" s="1"/>
  <c r="DO19" i="1"/>
  <c r="DP7" i="1"/>
  <c r="DP21" i="1"/>
  <c r="DR20" i="1"/>
  <c r="CH19" i="1"/>
  <c r="Z19" i="49"/>
  <c r="DK19" i="1"/>
  <c r="DK28" i="1" s="1"/>
  <c r="CH20" i="1"/>
  <c r="AC23" i="69" s="1"/>
  <c r="F39" i="10"/>
  <c r="F40" i="10"/>
  <c r="F43" i="10"/>
  <c r="F38" i="10"/>
  <c r="K85" i="10"/>
  <c r="CC27" i="1"/>
  <c r="G39" i="10"/>
  <c r="KW26" i="1"/>
  <c r="KV26" i="1"/>
  <c r="I18" i="10" l="1"/>
  <c r="I12" i="10"/>
  <c r="C8" i="39" s="1"/>
  <c r="AI21" i="73"/>
  <c r="EZ19" i="1"/>
  <c r="EZ28" i="1"/>
  <c r="AK3" i="73"/>
  <c r="AC21" i="73"/>
  <c r="W30" i="73"/>
  <c r="W37" i="73" s="1"/>
  <c r="AK30" i="73"/>
  <c r="AA30" i="73"/>
  <c r="AA37" i="73" s="1"/>
  <c r="AI16" i="72"/>
  <c r="AH16" i="72" s="1"/>
  <c r="AI14" i="73"/>
  <c r="AH14" i="73" s="1"/>
  <c r="AG21" i="72"/>
  <c r="AG30" i="72" s="1"/>
  <c r="AG37" i="72" s="1"/>
  <c r="AL21" i="72"/>
  <c r="AL30" i="72" s="1"/>
  <c r="AR21" i="72"/>
  <c r="AR30" i="72" s="1"/>
  <c r="AC30" i="72"/>
  <c r="M88" i="10"/>
  <c r="M23" i="10"/>
  <c r="E11" i="39"/>
  <c r="M28" i="10"/>
  <c r="DR7" i="1"/>
  <c r="DP19" i="1"/>
  <c r="W34" i="49"/>
  <c r="Y34" i="49" s="1"/>
  <c r="Y35" i="49" s="1"/>
  <c r="Y37" i="49" s="1"/>
  <c r="DR21" i="1"/>
  <c r="N16" i="10"/>
  <c r="N15" i="10"/>
  <c r="N18" i="10"/>
  <c r="N17" i="10"/>
  <c r="CH21" i="1"/>
  <c r="Z26" i="49"/>
  <c r="K106" i="10"/>
  <c r="K45" i="10" s="1"/>
  <c r="D10" i="39" s="1"/>
  <c r="G42" i="10"/>
  <c r="G40" i="10"/>
  <c r="KS26" i="1"/>
  <c r="KT26" i="1" s="1"/>
  <c r="CD27" i="1"/>
  <c r="K63" i="10"/>
  <c r="K17" i="10"/>
  <c r="C11" i="39" l="1"/>
  <c r="I23" i="10"/>
  <c r="J16" i="10"/>
  <c r="J17" i="10"/>
  <c r="J18" i="10"/>
  <c r="J15" i="10"/>
  <c r="AI21" i="72"/>
  <c r="AH21" i="72" s="1"/>
  <c r="AI30" i="73"/>
  <c r="AG21" i="73"/>
  <c r="AG30" i="73" s="1"/>
  <c r="AG37" i="73" s="1"/>
  <c r="AR21" i="73"/>
  <c r="AR30" i="73" s="1"/>
  <c r="AL21" i="73"/>
  <c r="AL30" i="73" s="1"/>
  <c r="AC30" i="73"/>
  <c r="AC37" i="73" s="1"/>
  <c r="AC37" i="72"/>
  <c r="AK37" i="72" s="1"/>
  <c r="AI37" i="72"/>
  <c r="AH39" i="72" s="1"/>
  <c r="M30" i="10"/>
  <c r="E19" i="39" s="1"/>
  <c r="M39" i="10"/>
  <c r="M42" i="10" s="1"/>
  <c r="W35" i="49"/>
  <c r="M12" i="10"/>
  <c r="E8" i="39" s="1"/>
  <c r="N26" i="10"/>
  <c r="N28" i="10"/>
  <c r="N27" i="10"/>
  <c r="E9" i="39"/>
  <c r="E17" i="39"/>
  <c r="H42" i="10"/>
  <c r="DR19" i="1"/>
  <c r="K109" i="10"/>
  <c r="K66" i="10"/>
  <c r="K26" i="10" s="1"/>
  <c r="H39" i="10"/>
  <c r="H43" i="10"/>
  <c r="H40" i="10"/>
  <c r="H38" i="10"/>
  <c r="CE27" i="1"/>
  <c r="K79" i="10"/>
  <c r="CF26" i="1"/>
  <c r="C17" i="39" l="1"/>
  <c r="I39" i="10"/>
  <c r="I30" i="10"/>
  <c r="AK37" i="73"/>
  <c r="AI30" i="72"/>
  <c r="AH21" i="73"/>
  <c r="AH37" i="72"/>
  <c r="M40" i="10"/>
  <c r="E14" i="39" s="1"/>
  <c r="W37" i="49"/>
  <c r="N42" i="10"/>
  <c r="E12" i="39"/>
  <c r="CH26" i="1"/>
  <c r="CF27" i="1"/>
  <c r="K15" i="10"/>
  <c r="K88" i="10"/>
  <c r="K28" i="10"/>
  <c r="D9" i="39" s="1"/>
  <c r="AI37" i="73" l="1"/>
  <c r="C19" i="39"/>
  <c r="I40" i="10"/>
  <c r="I42" i="10"/>
  <c r="AC32" i="69"/>
  <c r="N39" i="10"/>
  <c r="N43" i="10"/>
  <c r="N38" i="10"/>
  <c r="N40" i="10"/>
  <c r="E15" i="39"/>
  <c r="Z34" i="49"/>
  <c r="L27" i="10"/>
  <c r="L26" i="10"/>
  <c r="L28" i="10"/>
  <c r="CH27" i="1"/>
  <c r="K18" i="10"/>
  <c r="K12" i="10"/>
  <c r="D8" i="39" s="1"/>
  <c r="J42" i="10" l="1"/>
  <c r="C12" i="39"/>
  <c r="J39" i="10"/>
  <c r="C14" i="39"/>
  <c r="J43" i="10"/>
  <c r="J40" i="10"/>
  <c r="J38" i="10"/>
  <c r="AH37" i="73"/>
  <c r="AH39" i="73"/>
  <c r="D11" i="39"/>
  <c r="K23" i="10"/>
  <c r="L17" i="10"/>
  <c r="L16" i="10"/>
  <c r="L15" i="10"/>
  <c r="L18" i="10"/>
  <c r="C15" i="39" l="1"/>
  <c r="D17" i="39"/>
  <c r="K30" i="10"/>
  <c r="K39" i="10"/>
  <c r="D19" i="39" l="1"/>
  <c r="AA37" i="49"/>
  <c r="K40" i="10"/>
  <c r="K42" i="10"/>
  <c r="D12" i="39" l="1"/>
  <c r="D14" i="39"/>
  <c r="L39" i="10"/>
  <c r="L43" i="10"/>
  <c r="L40" i="10"/>
  <c r="L38" i="10"/>
  <c r="L42" i="10"/>
  <c r="D15" i="39" l="1"/>
  <c r="I28" i="1"/>
  <c r="O28" i="1" l="1"/>
  <c r="AG28" i="1"/>
  <c r="AH28" i="1" l="1"/>
  <c r="AM28" i="1"/>
  <c r="AL28" i="1"/>
  <c r="AO28" i="1" l="1"/>
  <c r="AP28" i="1"/>
  <c r="FO28" i="1" l="1"/>
  <c r="GQ28" i="1"/>
  <c r="HO28" i="1"/>
  <c r="FW28" i="1"/>
  <c r="DT28" i="1"/>
  <c r="FT28" i="1"/>
  <c r="GJ28" i="1"/>
  <c r="DF28" i="1"/>
  <c r="DG28" i="1"/>
  <c r="FP28" i="1"/>
  <c r="DR28" i="1"/>
  <c r="GG28" i="1"/>
  <c r="BC28" i="1"/>
  <c r="GX28" i="1"/>
  <c r="DU28" i="1"/>
  <c r="FX28" i="1"/>
  <c r="CP28" i="1"/>
  <c r="BA28" i="1"/>
  <c r="FY28" i="1"/>
  <c r="DJ28" i="1"/>
  <c r="CO28" i="1"/>
  <c r="BG28" i="1"/>
  <c r="DN28" i="1"/>
  <c r="DM28" i="1"/>
  <c r="DC28" i="1"/>
  <c r="HL28" i="1"/>
  <c r="GD28" i="1"/>
  <c r="DO28" i="1"/>
  <c r="AS28" i="1"/>
  <c r="FL28" i="1"/>
  <c r="BW28" i="1"/>
  <c r="HF28" i="1"/>
  <c r="GN28" i="1"/>
  <c r="CB28" i="1"/>
  <c r="HA28" i="1"/>
  <c r="GT28" i="1"/>
  <c r="BD28" i="1"/>
  <c r="CF28" i="1"/>
  <c r="GH28" i="1"/>
  <c r="CC28" i="1"/>
  <c r="BB28" i="1"/>
  <c r="BY28" i="1"/>
  <c r="GU28" i="1"/>
  <c r="AT28" i="1"/>
  <c r="CL28" i="1"/>
  <c r="DW28" i="1"/>
  <c r="DB28" i="1"/>
  <c r="GI28" i="1"/>
  <c r="CQ28" i="1"/>
  <c r="HK28" i="1"/>
  <c r="FU28" i="1"/>
  <c r="GK28" i="1"/>
  <c r="GF28" i="1"/>
  <c r="GB28" i="1"/>
  <c r="HJ28" i="1"/>
  <c r="CN28" i="1"/>
  <c r="BO28" i="1"/>
  <c r="HG28" i="1"/>
  <c r="AU28" i="1"/>
  <c r="DZ28" i="1"/>
  <c r="CD28" i="1"/>
  <c r="HI28" i="1"/>
  <c r="BP28" i="1"/>
  <c r="CM28" i="1"/>
  <c r="DX28" i="1"/>
  <c r="GL28" i="1"/>
  <c r="DE28" i="1"/>
  <c r="CH28" i="1"/>
  <c r="CA28" i="1"/>
  <c r="FZ28" i="1"/>
  <c r="FV28" i="1"/>
  <c r="HN28" i="1"/>
  <c r="GW28" i="1"/>
  <c r="FR28" i="1"/>
  <c r="DY28" i="1"/>
  <c r="GZ28" i="1"/>
  <c r="GC28" i="1"/>
  <c r="HE28" i="1"/>
  <c r="CJ28" i="1"/>
  <c r="BS28" i="1"/>
  <c r="CE28" i="1"/>
  <c r="BF28" i="1"/>
  <c r="BV28" i="1"/>
  <c r="BT28" i="1"/>
  <c r="DA28" i="1"/>
  <c r="DD28" i="1"/>
  <c r="CK28" i="1"/>
  <c r="FS28" i="1"/>
  <c r="GM28" i="1"/>
  <c r="BX28" i="1"/>
  <c r="HM28" i="1"/>
  <c r="DP28" i="1"/>
  <c r="CR28" i="1"/>
  <c r="HB28" i="1"/>
  <c r="BZ28" i="1"/>
  <c r="AZ28" i="1"/>
  <c r="DV28" i="1"/>
  <c r="GA28" i="1"/>
  <c r="DL28" i="1"/>
  <c r="GY28" i="1"/>
  <c r="HD28" i="1"/>
  <c r="DQ28" i="1"/>
  <c r="O39" i="10" l="1"/>
  <c r="O42" i="10" l="1"/>
  <c r="O40" i="10"/>
  <c r="F14" i="39" s="1"/>
  <c r="P42" i="10" l="1"/>
  <c r="F12" i="39"/>
  <c r="P40" i="10"/>
  <c r="P43" i="10"/>
  <c r="P38" i="10"/>
  <c r="P39" i="10"/>
  <c r="F15" i="39" l="1"/>
  <c r="AA34" i="49" l="1"/>
  <c r="AA33" i="49"/>
  <c r="O35" i="49"/>
  <c r="AA31" i="49"/>
  <c r="AA30" i="49"/>
  <c r="AA26" i="49"/>
  <c r="AA19" i="49"/>
  <c r="O27" i="49"/>
  <c r="AA32" i="49"/>
  <c r="AA10" i="49"/>
  <c r="O37" i="49" l="1"/>
  <c r="U23" i="49"/>
  <c r="U35" i="49"/>
  <c r="U27" i="49"/>
  <c r="U37" i="49" l="1"/>
  <c r="Z37" i="49" l="1"/>
  <c r="M37" i="59"/>
  <c r="O37" i="59"/>
  <c r="G37" i="59"/>
  <c r="W37" i="59"/>
  <c r="I37" i="59"/>
  <c r="C37" i="59"/>
  <c r="S37" i="59"/>
  <c r="K37" i="59"/>
  <c r="U37" i="59"/>
  <c r="AA37" i="59" s="1"/>
  <c r="E37" i="59"/>
  <c r="Q37" i="59"/>
  <c r="W39" i="59" l="1"/>
</calcChain>
</file>

<file path=xl/comments1.xml><?xml version="1.0" encoding="utf-8"?>
<comments xmlns="http://schemas.openxmlformats.org/spreadsheetml/2006/main">
  <authors>
    <author>Simundza, Eric</author>
  </authors>
  <commentList>
    <comment ref="ID2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From Hausrath report on 66th and San Leandro: Rents of manufacturing industrial space are likely to be in the range of $0.75 to $1.00 per square foot, assuming more interior partitions and furnishes than warehouse space (and excluding the costs of tenant equipment for production activities).</t>
        </r>
      </text>
    </comment>
    <comment ref="BT14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density bonus does not apply because of site constraints</t>
        </r>
      </text>
    </comment>
    <comment ref="CY14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density bonus does not apply because of site constraints</t>
        </r>
      </text>
    </comment>
    <comment ref="EG14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density bonus does not apply because of site constraints</t>
        </r>
      </text>
    </comment>
    <comment ref="FP14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density bonus does not apply because of site constraints</t>
        </r>
      </text>
    </comment>
    <comment ref="CY15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density bonus does not apply because of site constraints</t>
        </r>
      </text>
    </comment>
    <comment ref="EG15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density bonus does not apply because of site constraints</t>
        </r>
      </text>
    </comment>
    <comment ref="AB18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per Patrick Lane, not CBRE</t>
        </r>
      </text>
    </comment>
    <comment ref="AH22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removed demolition reduction</t>
        </r>
      </text>
    </comment>
  </commentList>
</comments>
</file>

<file path=xl/comments2.xml><?xml version="1.0" encoding="utf-8"?>
<comments xmlns="http://schemas.openxmlformats.org/spreadsheetml/2006/main">
  <authors>
    <author>Simundza, Eric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Simundza, Eric:</t>
        </r>
        <r>
          <rPr>
            <sz val="9"/>
            <color indexed="81"/>
            <rFont val="Tahoma"/>
            <family val="2"/>
          </rPr>
          <t xml:space="preserve">
projected</t>
        </r>
      </text>
    </comment>
  </commentList>
</comments>
</file>

<file path=xl/comments3.xml><?xml version="1.0" encoding="utf-8"?>
<comments xmlns="http://schemas.openxmlformats.org/spreadsheetml/2006/main">
  <authors>
    <author>Morales, Christina</author>
    <author>mulve9c</author>
    <author>Dunbar, Raynette</author>
    <author>Downton, Diana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PV System</t>
        </r>
      </text>
    </comment>
    <comment ref="I30" authorId="1" shapeId="0">
      <text>
        <r>
          <rPr>
            <sz val="10"/>
            <rFont val="Arial"/>
            <family val="2"/>
          </rPr>
          <t>Environmental Remdiation</t>
        </r>
      </text>
    </comment>
    <comment ref="I31" authorId="1" shapeId="0">
      <text>
        <r>
          <rPr>
            <sz val="8"/>
            <color indexed="81"/>
            <rFont val="Tahoma"/>
            <family val="2"/>
          </rPr>
          <t xml:space="preserve">GC Insurance/Bonds
</t>
        </r>
      </text>
    </comment>
    <comment ref="C57" authorId="0" shapeId="0">
      <text>
        <r>
          <rPr>
            <sz val="10"/>
            <rFont val="Arial"/>
            <family val="2"/>
          </rPr>
          <t>Prevailing Wage Monitor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Market Study</t>
        </r>
      </text>
    </comment>
    <comment ref="F57" authorId="0" shapeId="0">
      <text>
        <r>
          <rPr>
            <sz val="10"/>
            <rFont val="Arial"/>
            <family val="2"/>
          </rPr>
          <t xml:space="preserve">Soft Cost Contingency
</t>
        </r>
      </text>
    </comment>
    <comment ref="G57" authorId="0" shapeId="0">
      <text>
        <r>
          <rPr>
            <sz val="10"/>
            <rFont val="Arial"/>
            <family val="2"/>
          </rPr>
          <t>Soft Cost Contingency</t>
        </r>
      </text>
    </comment>
    <comment ref="I57" authorId="0" shapeId="0">
      <text>
        <r>
          <rPr>
            <sz val="10"/>
            <rFont val="Arial"/>
            <family val="2"/>
          </rPr>
          <t>Security During Construction</t>
        </r>
      </text>
    </comment>
    <comment ref="O57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Soft Cost Contingency</t>
        </r>
      </text>
    </comment>
    <comment ref="Q57" authorId="0" shapeId="0">
      <text>
        <r>
          <rPr>
            <sz val="10"/>
            <rFont val="Arial"/>
            <family val="2"/>
          </rPr>
          <t>Other Consultants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Soft Cost Contingency</t>
        </r>
      </text>
    </comment>
    <comment ref="F58" authorId="0" shapeId="0">
      <text>
        <r>
          <rPr>
            <sz val="10"/>
            <rFont val="Arial"/>
            <family val="2"/>
          </rPr>
          <t>Other Consultants</t>
        </r>
      </text>
    </comment>
    <comment ref="G58" authorId="0" shapeId="0">
      <text>
        <r>
          <rPr>
            <sz val="10"/>
            <rFont val="Arial"/>
            <family val="2"/>
          </rPr>
          <t>Market Study</t>
        </r>
      </text>
    </comment>
    <comment ref="I58" authorId="0" shapeId="0">
      <text>
        <r>
          <rPr>
            <sz val="10"/>
            <rFont val="Arial"/>
            <family val="2"/>
          </rPr>
          <t>Soft Cost Contingency</t>
        </r>
      </text>
    </comment>
    <comment ref="K58" authorId="0" shapeId="0">
      <text>
        <r>
          <rPr>
            <sz val="10"/>
            <rFont val="Arial"/>
            <family val="2"/>
          </rPr>
          <t>Soft Cost Contingency</t>
        </r>
      </text>
    </comment>
    <comment ref="P58" authorId="2" shapeId="0">
      <text>
        <r>
          <rPr>
            <sz val="10"/>
            <rFont val="Arial"/>
            <family val="2"/>
          </rPr>
          <t>Soft Cost Contingency</t>
        </r>
      </text>
    </comment>
    <comment ref="Q58" authorId="0" shapeId="0">
      <text>
        <r>
          <rPr>
            <sz val="10"/>
            <rFont val="Arial"/>
            <family val="2"/>
          </rPr>
          <t>Soft cost contingencies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Security</t>
        </r>
      </text>
    </comment>
    <comment ref="F74" authorId="1" shapeId="0">
      <text>
        <r>
          <rPr>
            <b/>
            <sz val="8"/>
            <color indexed="81"/>
            <rFont val="Tahoma"/>
            <family val="2"/>
          </rPr>
          <t>carrying costs (land)</t>
        </r>
      </text>
    </comment>
    <comment ref="I74" authorId="0" shapeId="0">
      <text>
        <r>
          <rPr>
            <sz val="10"/>
            <rFont val="Arial"/>
            <family val="2"/>
          </rPr>
          <t>Cost of Bond Issuance</t>
        </r>
      </text>
    </comment>
    <comment ref="K74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Perm loan fees</t>
        </r>
      </text>
    </comment>
    <comment ref="L74" authorId="2" shapeId="0">
      <text>
        <r>
          <rPr>
            <sz val="10"/>
            <rFont val="Arial"/>
            <family val="2"/>
          </rPr>
          <t>TCAC Fees</t>
        </r>
      </text>
    </comment>
    <comment ref="N74" authorId="0" shapeId="0">
      <text>
        <r>
          <rPr>
            <sz val="10"/>
            <rFont val="Arial"/>
            <family val="2"/>
          </rPr>
          <t>tax exempt bond fees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predev loan costs</t>
        </r>
      </text>
    </comment>
    <comment ref="R74" authorId="2" shapeId="0">
      <text>
        <r>
          <rPr>
            <sz val="10"/>
            <rFont val="Arial"/>
            <family val="2"/>
          </rPr>
          <t>Perm Loan Fees</t>
        </r>
      </text>
    </comment>
    <comment ref="I75" authorId="0" shapeId="0">
      <text>
        <r>
          <rPr>
            <sz val="10"/>
            <rFont val="Arial"/>
            <family val="2"/>
          </rPr>
          <t>Acquisition loan interest and fees</t>
        </r>
      </text>
    </comment>
    <comment ref="Q75" authorId="0" shapeId="0">
      <text>
        <r>
          <rPr>
            <sz val="10"/>
            <rFont val="Arial"/>
            <family val="2"/>
          </rPr>
          <t>Misc Financing Costs</t>
        </r>
      </text>
    </comment>
    <comment ref="F76" authorId="1" shapeId="0">
      <text>
        <r>
          <rPr>
            <sz val="8"/>
            <color indexed="81"/>
            <rFont val="Tahoma"/>
            <family val="2"/>
          </rPr>
          <t xml:space="preserve">perm loan conversion 
</t>
        </r>
      </text>
    </comment>
    <comment ref="I76" authorId="0" shapeId="0">
      <text>
        <r>
          <rPr>
            <sz val="10"/>
            <rFont val="Arial"/>
            <family val="2"/>
          </rPr>
          <t>Predevelopment loan Interest and fees</t>
        </r>
      </text>
    </comment>
    <comment ref="K76" authorId="0" shapeId="0">
      <text>
        <r>
          <rPr>
            <sz val="10"/>
            <rFont val="Arial"/>
            <family val="2"/>
          </rPr>
          <t>Other Holding Costs</t>
        </r>
      </text>
    </comment>
    <comment ref="O76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Perm loan fees</t>
        </r>
      </text>
    </comment>
    <comment ref="R76" authorId="2" shapeId="0">
      <text>
        <r>
          <rPr>
            <sz val="10"/>
            <rFont val="Arial"/>
            <family val="2"/>
          </rPr>
          <t>Predev Loan Fees</t>
        </r>
      </text>
    </comment>
    <comment ref="F88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Organizational Misc.</t>
        </r>
      </text>
    </comment>
    <comment ref="I88" authorId="0" shapeId="0">
      <text>
        <r>
          <rPr>
            <sz val="10"/>
            <rFont val="Arial"/>
            <family val="2"/>
          </rPr>
          <t>Market Study</t>
        </r>
      </text>
    </comment>
    <comment ref="B100" authorId="0" shapeId="0">
      <text>
        <r>
          <rPr>
            <sz val="10"/>
            <rFont val="Arial"/>
            <family val="2"/>
          </rPr>
          <t>HCD Transition Reserve</t>
        </r>
      </text>
    </comment>
    <comment ref="C100" authorId="0" shapeId="0">
      <text>
        <r>
          <rPr>
            <sz val="10"/>
            <rFont val="Arial"/>
            <family val="2"/>
          </rPr>
          <t>Transition Reserve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Capitalized Transit Pass Reserve</t>
        </r>
      </text>
    </comment>
    <comment ref="I100" authorId="3" shapeId="0">
      <text>
        <r>
          <rPr>
            <b/>
            <sz val="9"/>
            <color indexed="81"/>
            <rFont val="Tahoma"/>
            <family val="2"/>
          </rPr>
          <t>Downton, Diana:</t>
        </r>
        <r>
          <rPr>
            <sz val="9"/>
            <color indexed="81"/>
            <rFont val="Tahoma"/>
            <family val="2"/>
          </rPr>
          <t xml:space="preserve">
transition reserve</t>
        </r>
      </text>
    </comment>
    <comment ref="O100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Section 8 reserve as required by investor</t>
        </r>
      </text>
    </comment>
    <comment ref="C101" authorId="0" shapeId="0">
      <text>
        <r>
          <rPr>
            <sz val="10"/>
            <rFont val="Arial"/>
            <family val="2"/>
          </rPr>
          <t>Service Reserve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</rPr>
          <t>Morales, Christina:</t>
        </r>
        <r>
          <rPr>
            <sz val="9"/>
            <color indexed="81"/>
            <rFont val="Tahoma"/>
            <family val="2"/>
          </rPr>
          <t xml:space="preserve">
Transition Reserve</t>
        </r>
      </text>
    </comment>
    <comment ref="C112" authorId="1" shapeId="0">
      <text>
        <r>
          <rPr>
            <b/>
            <sz val="8"/>
            <color indexed="81"/>
            <rFont val="Tahoma"/>
            <family val="2"/>
          </rPr>
          <t>nh:tdc=$29,361,261
--&gt;incl commercial space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2" authorId="1" shapeId="0">
      <text>
        <r>
          <rPr>
            <b/>
            <sz val="8"/>
            <color indexed="81"/>
            <rFont val="Tahoma"/>
            <family val="2"/>
          </rPr>
          <t>nh:tdc=$29,361,261
--&gt;incl commercial space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<sst xmlns="http://schemas.openxmlformats.org/spreadsheetml/2006/main" count="1484" uniqueCount="708">
  <si>
    <t>Address</t>
  </si>
  <si>
    <t>Project Area</t>
  </si>
  <si>
    <t>521 19TH STREET (1800 San Pablo)</t>
  </si>
  <si>
    <t>Central District</t>
  </si>
  <si>
    <t>008-0642-018</t>
  </si>
  <si>
    <t>N/A</t>
  </si>
  <si>
    <t xml:space="preserve">Central District </t>
  </si>
  <si>
    <t>008-0716-058</t>
  </si>
  <si>
    <t>Central City East</t>
  </si>
  <si>
    <t xml:space="preserve">36th &amp; Foothill </t>
  </si>
  <si>
    <t>10451 MacArthur</t>
  </si>
  <si>
    <t>10451 MACARTHUR BLVD</t>
  </si>
  <si>
    <t>047-5576-007-3</t>
  </si>
  <si>
    <t xml:space="preserve">27th &amp; Foothill </t>
  </si>
  <si>
    <t xml:space="preserve">66th &amp; San Leandro </t>
  </si>
  <si>
    <t>Coliseum</t>
  </si>
  <si>
    <t xml:space="preserve">041-4056-004-04 </t>
  </si>
  <si>
    <t xml:space="preserve">Clara &amp; Edes </t>
  </si>
  <si>
    <t>9418 EDES AVE                                                                    606 CLARA ST</t>
  </si>
  <si>
    <t>Hill Elmhurst</t>
  </si>
  <si>
    <t>Oak Knoll</t>
  </si>
  <si>
    <t>048-6870-002</t>
  </si>
  <si>
    <t>008-0620-009-03</t>
  </si>
  <si>
    <t>73rd &amp; International</t>
  </si>
  <si>
    <t>7318 INTERNATIONAL BLVD</t>
  </si>
  <si>
    <t>Project Description</t>
  </si>
  <si>
    <t>TBD</t>
  </si>
  <si>
    <t>NA</t>
  </si>
  <si>
    <t>Assisted living facility proposal</t>
  </si>
  <si>
    <t>3,600 sf and 1,750 sf remainder City corner parcels</t>
  </si>
  <si>
    <t>Possible mixed-use or neighborhood commercial site</t>
  </si>
  <si>
    <t>Small infill residential or commercial site</t>
  </si>
  <si>
    <t>prior Council direction requested minimum 10% BMR units at moderate income</t>
  </si>
  <si>
    <t>Status</t>
  </si>
  <si>
    <t>Developer</t>
  </si>
  <si>
    <t>ENA approved and expired; in discussion with other RFP finalists</t>
  </si>
  <si>
    <t>DDA lapsed but not terminated.</t>
  </si>
  <si>
    <t>Potential RFP</t>
  </si>
  <si>
    <t>Land Area (sf)</t>
  </si>
  <si>
    <t>Zoning</t>
  </si>
  <si>
    <t>CBD-X</t>
  </si>
  <si>
    <t>CBD-C</t>
  </si>
  <si>
    <t>RU-5</t>
  </si>
  <si>
    <t>CN-3</t>
  </si>
  <si>
    <t>IG</t>
  </si>
  <si>
    <t>RM-4</t>
  </si>
  <si>
    <t>RU-4</t>
  </si>
  <si>
    <t>CC-2</t>
  </si>
  <si>
    <t>D-CO-2</t>
  </si>
  <si>
    <t>Fruitvale Transit Village Phase IIB</t>
  </si>
  <si>
    <t>Assessors Parcel Number(s)</t>
  </si>
  <si>
    <t>4.5 acres adjacent to Sun-Cal's master-planned development project</t>
  </si>
  <si>
    <t>former City Hall public parking garage closed for seismic safety concerns</t>
  </si>
  <si>
    <t>City land</t>
  </si>
  <si>
    <t>surface parking lot; potential mixed-use development including library branch</t>
  </si>
  <si>
    <t>Total</t>
  </si>
  <si>
    <t>Potential RFP or ENA</t>
  </si>
  <si>
    <t>Vacant 6.2 acre parcel - possible mixed-use, retail, industrial and/or residential development site; relocation site for City facilities</t>
  </si>
  <si>
    <t>Possible mixed-use high-rise site; affordable housing and/or non-profit office development.</t>
  </si>
  <si>
    <t>RFP yielded 6 proposals with residential, hotel and retail.  Figures assume 67% of site for market rate and 33% for hotel</t>
  </si>
  <si>
    <t>Site</t>
  </si>
  <si>
    <t>% affordable onsite</t>
  </si>
  <si>
    <t>Potential RFP or use for City facilities</t>
  </si>
  <si>
    <t>City to demolish structure; potential future RFP w 8296 MacArthur</t>
  </si>
  <si>
    <t>Wood Street</t>
  </si>
  <si>
    <t>1707 Wood Street</t>
  </si>
  <si>
    <t>Golf Links Road</t>
  </si>
  <si>
    <t>Golf Links Road/82nd Ave</t>
  </si>
  <si>
    <t>D-WS</t>
  </si>
  <si>
    <t>RU-4/  RD-1</t>
  </si>
  <si>
    <t>CN-1</t>
  </si>
  <si>
    <t>ORSA LRPMP # or other owner</t>
  </si>
  <si>
    <t>3550, 3566, 3600, 3614 Foothill Blvd</t>
  </si>
  <si>
    <t xml:space="preserve"> 2759, 2777 FOOTHILL BLVD</t>
  </si>
  <si>
    <t>former RDA Low-Mod Housing site</t>
  </si>
  <si>
    <t>100% BMR</t>
  </si>
  <si>
    <t>CBRE Unentitled Unit Value Range</t>
  </si>
  <si>
    <t>CBRE Unentitled Land Value Range $/PSF</t>
  </si>
  <si>
    <t>$30,000-$50,000</t>
  </si>
  <si>
    <t>$15,000-$20,000</t>
  </si>
  <si>
    <t>$20,000-$30,000</t>
  </si>
  <si>
    <t>$250-400</t>
  </si>
  <si>
    <t>$50,000-$70,000</t>
  </si>
  <si>
    <t>$50,000-$75,000</t>
  </si>
  <si>
    <t>$30-60</t>
  </si>
  <si>
    <t>$200-350</t>
  </si>
  <si>
    <t>$40,000-$70,000</t>
  </si>
  <si>
    <t>$200-400</t>
  </si>
  <si>
    <t>$80,000-$120,000</t>
  </si>
  <si>
    <t>$20-50</t>
  </si>
  <si>
    <t>$300-400</t>
  </si>
  <si>
    <t>$70,000-90,000</t>
  </si>
  <si>
    <t>$60-100</t>
  </si>
  <si>
    <t>$40-90</t>
  </si>
  <si>
    <t>$50-100</t>
  </si>
  <si>
    <t>$30-50</t>
  </si>
  <si>
    <t>ENA expired with SunCal who decided not to include as part of master plan development. Council directed RFP for affordable housing</t>
  </si>
  <si>
    <t>Midrange Unrestricted FMV</t>
  </si>
  <si>
    <t>Affordable Housing designated or assumed</t>
  </si>
  <si>
    <t>0% assumed</t>
  </si>
  <si>
    <t>none assumed</t>
  </si>
  <si>
    <t>100% assumed</t>
  </si>
  <si>
    <t>Category</t>
  </si>
  <si>
    <t>Notes</t>
  </si>
  <si>
    <t>Height Area</t>
  </si>
  <si>
    <t>RD-1</t>
  </si>
  <si>
    <t>Golf links</t>
  </si>
  <si>
    <t>industrial</t>
  </si>
  <si>
    <t>max units: 170</t>
  </si>
  <si>
    <t>45-60</t>
  </si>
  <si>
    <t>Zoning Density</t>
  </si>
  <si>
    <t>Min Lot Mkt</t>
  </si>
  <si>
    <t>Min Lot or Density</t>
  </si>
  <si>
    <t>Density</t>
  </si>
  <si>
    <t>Min Lot</t>
  </si>
  <si>
    <t>Sqft per Unit/Lot</t>
  </si>
  <si>
    <t>RH-3</t>
  </si>
  <si>
    <t>Potential Units (No Density Bonus)</t>
  </si>
  <si>
    <t>Unit Adjustment</t>
  </si>
  <si>
    <t>Adjusted Units (No Density Bonus)</t>
  </si>
  <si>
    <t>Percentage Density Bonus</t>
  </si>
  <si>
    <t>Percentage Low-Income Units</t>
  </si>
  <si>
    <t>Density Bonus</t>
  </si>
  <si>
    <t xml:space="preserve">22.  Development Budget   </t>
  </si>
  <si>
    <t xml:space="preserve">NEW CONSTRUCTION RENTAL </t>
  </si>
  <si>
    <t>Project Name</t>
  </si>
  <si>
    <t>MAcArthur Blvd Residental and Comercial Plaza</t>
  </si>
  <si>
    <t>3801 MLK Family Housing</t>
  </si>
  <si>
    <t>Friendship Senior Rental Housing Develoment</t>
  </si>
  <si>
    <t>Camino 23</t>
  </si>
  <si>
    <t>MacArthur Apartments</t>
  </si>
  <si>
    <t>95th and International Apartments</t>
  </si>
  <si>
    <t>3268 San Pablo</t>
  </si>
  <si>
    <t>Agnes Memorial Senior Apartments</t>
  </si>
  <si>
    <t>Oak Hill Aparments</t>
  </si>
  <si>
    <t>Colliseum Place</t>
  </si>
  <si>
    <t>West Grand Brush</t>
  </si>
  <si>
    <t>34th &amp; San Pablo Family Housing (aka "34SP")</t>
  </si>
  <si>
    <t>Williams Chapel Senior Housing</t>
  </si>
  <si>
    <t>7th &amp; Campbell Develoment</t>
  </si>
  <si>
    <t>San Antonio Terrace</t>
  </si>
  <si>
    <t>Average</t>
  </si>
  <si>
    <t>Median</t>
  </si>
  <si>
    <t>Total Square Feet</t>
  </si>
  <si>
    <t># of Units</t>
  </si>
  <si>
    <t>Total # of Bedrooms</t>
  </si>
  <si>
    <t>* assume 1 person per SRO, 1.5 per bedroom or studio</t>
  </si>
  <si>
    <t xml:space="preserve"> </t>
  </si>
  <si>
    <t>Item</t>
  </si>
  <si>
    <t>1. Acquisition*</t>
  </si>
  <si>
    <t xml:space="preserve">     Option Payments</t>
  </si>
  <si>
    <t xml:space="preserve">     Acquisition*</t>
  </si>
  <si>
    <t>Total Acquisition</t>
  </si>
  <si>
    <t>Per Unit:</t>
  </si>
  <si>
    <t>Difference from Per Unit Mean:</t>
  </si>
  <si>
    <t>Per Square Foot:</t>
  </si>
  <si>
    <t>Difference from Per Square Foot Mean:</t>
  </si>
  <si>
    <t>Percent Difference</t>
  </si>
  <si>
    <t>2. Off-Site Improvements**</t>
  </si>
  <si>
    <t>3. Hard Costs</t>
  </si>
  <si>
    <t xml:space="preserve">     Demolition/Site Clearance</t>
  </si>
  <si>
    <t xml:space="preserve">     Construction</t>
  </si>
  <si>
    <t>     Contingency</t>
  </si>
  <si>
    <t>     Other:</t>
  </si>
  <si>
    <t xml:space="preserve">     Other:___________________________</t>
  </si>
  <si>
    <t>Total Hard Costs</t>
  </si>
  <si>
    <t>% difference per SF</t>
  </si>
  <si>
    <t>4. Soft Costs</t>
  </si>
  <si>
    <t xml:space="preserve">     Appraisal</t>
  </si>
  <si>
    <t xml:space="preserve">     Architecture/Engineering</t>
  </si>
  <si>
    <t xml:space="preserve">     Survey</t>
  </si>
  <si>
    <t xml:space="preserve">     Construction Bond Premium</t>
  </si>
  <si>
    <t xml:space="preserve">     Construction Testing/Inspection</t>
  </si>
  <si>
    <t xml:space="preserve">     Soils Report/Geological Survey</t>
  </si>
  <si>
    <t xml:space="preserve">     Environmental: Phase I, II, lead, asbestos</t>
  </si>
  <si>
    <t xml:space="preserve">     Environmental Review: CEQA/NEPA</t>
  </si>
  <si>
    <t xml:space="preserve">     Plan Check</t>
  </si>
  <si>
    <t xml:space="preserve">     Permits &amp; Fees</t>
  </si>
  <si>
    <t xml:space="preserve">     Accounting/Audit/Tax Prep./Cost Cert.</t>
  </si>
  <si>
    <t xml:space="preserve">     Legal</t>
  </si>
  <si>
    <t xml:space="preserve">     Utility Fees</t>
  </si>
  <si>
    <t xml:space="preserve">     Construction Management</t>
  </si>
  <si>
    <t xml:space="preserve">     Relocation</t>
  </si>
  <si>
    <t xml:space="preserve">     Title/Recording/Closing Costs
         -Construction/Acquisition Closing</t>
  </si>
  <si>
    <t xml:space="preserve">     Title/Recording/Closing Costs
         -Perm. Loan Closing</t>
  </si>
  <si>
    <t xml:space="preserve">     Marketing</t>
  </si>
  <si>
    <t>Total Soft Costs</t>
  </si>
  <si>
    <t>5. Carrying Costs</t>
  </si>
  <si>
    <t xml:space="preserve">     Property Taxes During Construction</t>
  </si>
  <si>
    <t xml:space="preserve">     Insurance During Construction</t>
  </si>
  <si>
    <t xml:space="preserve">     City Loan Fee (2.5% of Total City Loan)</t>
  </si>
  <si>
    <t xml:space="preserve">     City Loan Fee (2% of Total City Loan)</t>
  </si>
  <si>
    <t>City Loan Fee 1%</t>
  </si>
  <si>
    <t xml:space="preserve">     Construction Loan Fees</t>
  </si>
  <si>
    <t xml:space="preserve">     Construction Loan Interest</t>
  </si>
  <si>
    <t xml:space="preserve">     Bridge Loan Interest</t>
  </si>
  <si>
    <t>Total Carrying Costs</t>
  </si>
  <si>
    <t>6.  Syndication Costs</t>
  </si>
  <si>
    <r>
      <t xml:space="preserve">     </t>
    </r>
    <r>
      <rPr>
        <sz val="10"/>
        <rFont val="Arial"/>
        <family val="2"/>
      </rPr>
      <t>Syndication Accounting</t>
    </r>
  </si>
  <si>
    <r>
      <t xml:space="preserve">     </t>
    </r>
    <r>
      <rPr>
        <sz val="10"/>
        <rFont val="Arial"/>
        <family val="2"/>
      </rPr>
      <t>Syndication Legal</t>
    </r>
  </si>
  <si>
    <t xml:space="preserve">     Syndication Consultant Fees</t>
  </si>
  <si>
    <t xml:space="preserve">     LIHTC Fees</t>
  </si>
  <si>
    <t>Total Syndication Costs</t>
  </si>
  <si>
    <t>7.  Capitalization of Reserves</t>
  </si>
  <si>
    <t xml:space="preserve">     Vacancy Loss Reserve (18 months)</t>
  </si>
  <si>
    <t xml:space="preserve">     Operating Reserve (long term)**</t>
  </si>
  <si>
    <t xml:space="preserve">     Replacement Reserve**</t>
  </si>
  <si>
    <t xml:space="preserve">     Other_______________________</t>
  </si>
  <si>
    <t>Total Reserves</t>
  </si>
  <si>
    <t>8.  Developer Fee</t>
  </si>
  <si>
    <t>9.  Furnishings/Other____________**</t>
  </si>
  <si>
    <t>Total Project Costs</t>
  </si>
  <si>
    <t>Total Project Costs Per Unit</t>
  </si>
  <si>
    <t>Difference from Mean</t>
  </si>
  <si>
    <t>Total Project Costs Per Bedroom</t>
  </si>
  <si>
    <t>Total Project Costs Per Sq. Foot</t>
  </si>
  <si>
    <t>Amount of Subsidy Per Unit</t>
  </si>
  <si>
    <t>City Funds</t>
  </si>
  <si>
    <t>A1 Funds</t>
  </si>
  <si>
    <t> % City Subsidy </t>
  </si>
  <si>
    <t>  % Total Local Funds Subsidy  </t>
  </si>
  <si>
    <t>Adjusted Units Notes</t>
  </si>
  <si>
    <t>min sqft per unit</t>
  </si>
  <si>
    <t>Assumed Density (No Bonus)</t>
  </si>
  <si>
    <t>Total units onsite (density bonus)</t>
  </si>
  <si>
    <t>Aff Units onsite (density bonus)</t>
  </si>
  <si>
    <t>Market Rate Units onsite (density bonsu)</t>
  </si>
  <si>
    <t>4 max per lot, 1,100 sqft per lot on lots over 4,000sqft</t>
  </si>
  <si>
    <t>same as abutting RM-3, or 2 units per lot. Updated info from Howe Century Urban proforma. 41st and Piedmont Capacity Study, with scenarios for a library and housing ranging from 49-147 units</t>
  </si>
  <si>
    <t>375-450</t>
  </si>
  <si>
    <t>90-300</t>
  </si>
  <si>
    <t>CBD-R</t>
  </si>
  <si>
    <t>High Rise</t>
  </si>
  <si>
    <t>y</t>
  </si>
  <si>
    <t>FMV Adjustment Notes</t>
  </si>
  <si>
    <t>$100,000-$200,000</t>
  </si>
  <si>
    <t>Based on per unit cost assumption</t>
  </si>
  <si>
    <t>reduction for demolition costs</t>
  </si>
  <si>
    <t>Needs appraisal</t>
  </si>
  <si>
    <t>(dev cost - land aq)/unit</t>
  </si>
  <si>
    <t>Current Aff Hsg Impact Fee</t>
  </si>
  <si>
    <t>Land Sale Proceeds to AHTF</t>
  </si>
  <si>
    <t>per Unit</t>
  </si>
  <si>
    <t>Sales Proceed Category</t>
  </si>
  <si>
    <t>Scenario 4:</t>
  </si>
  <si>
    <t>Total Funds Generated to AHTF</t>
  </si>
  <si>
    <t>Total Land Sale Proceeds</t>
  </si>
  <si>
    <t>Impact Fees to AHTF</t>
  </si>
  <si>
    <t>RBF</t>
  </si>
  <si>
    <t>Redevelopment Bond Funds</t>
  </si>
  <si>
    <t>Compensation Agreement</t>
  </si>
  <si>
    <t>CA</t>
  </si>
  <si>
    <t>GPF</t>
  </si>
  <si>
    <t>General Purpose Fund</t>
  </si>
  <si>
    <t>AHTF</t>
  </si>
  <si>
    <t>Affordable Housing Trust Fund</t>
  </si>
  <si>
    <t>Code</t>
  </si>
  <si>
    <t>Description</t>
  </si>
  <si>
    <t>All Land at FMV</t>
  </si>
  <si>
    <t>1a) Sale Proceeds to AHTF: 0% to AHTF</t>
  </si>
  <si>
    <t>1b) Sale Proceeds to AHTF: 100% to AHTF</t>
  </si>
  <si>
    <t>1a) Sale Proceeds plus Impact Fees</t>
  </si>
  <si>
    <t>1b) Sale Proceeds plus Impact Fees</t>
  </si>
  <si>
    <t>FY 17-18</t>
  </si>
  <si>
    <t>FY 18-19</t>
  </si>
  <si>
    <t>FY 19-20</t>
  </si>
  <si>
    <t>FY 20-21</t>
  </si>
  <si>
    <t>1SF</t>
  </si>
  <si>
    <t>3SF</t>
  </si>
  <si>
    <t>2SF</t>
  </si>
  <si>
    <t>1TH</t>
  </si>
  <si>
    <t>2TH</t>
  </si>
  <si>
    <t>3TH</t>
  </si>
  <si>
    <t>Impact Fee Adjustment</t>
  </si>
  <si>
    <t>Impact Fee Adjust Notes</t>
  </si>
  <si>
    <t>Impact Fee Zone/Category</t>
  </si>
  <si>
    <t>4-5 stories should net 25-30 units</t>
  </si>
  <si>
    <t>constrained site on hillside</t>
  </si>
  <si>
    <t>no high rise if affordable</t>
  </si>
  <si>
    <t>Commercial</t>
  </si>
  <si>
    <t>Total units with bonus (rounded)</t>
  </si>
  <si>
    <t>Market Rate</t>
  </si>
  <si>
    <t>60% AMI (dev cost - land aq)/unit</t>
  </si>
  <si>
    <t>AHTF Subsidies Required</t>
  </si>
  <si>
    <t>1911 Telegraph</t>
  </si>
  <si>
    <t>In Lieu Fee</t>
  </si>
  <si>
    <t>Affordable Units</t>
  </si>
  <si>
    <t>Lowrise</t>
  </si>
  <si>
    <t>Land Sale to AHTF</t>
  </si>
  <si>
    <t>Unit Production</t>
  </si>
  <si>
    <t>Housing Units Generated</t>
  </si>
  <si>
    <t>Funds Generated to AHTF</t>
  </si>
  <si>
    <t>Market Rate Onsite (Built)</t>
  </si>
  <si>
    <t>Future Development</t>
  </si>
  <si>
    <t>100% at 60% AMI</t>
  </si>
  <si>
    <t>NonRes</t>
  </si>
  <si>
    <t>Yes</t>
  </si>
  <si>
    <t>Total Local Programs</t>
  </si>
  <si>
    <t>Total Units</t>
  </si>
  <si>
    <t>Scenario:</t>
  </si>
  <si>
    <t>Redevelopment Bond Fund</t>
  </si>
  <si>
    <t>Land Sale Proceeds</t>
  </si>
  <si>
    <t>City Subsidy Needed for Onsite Affordable Units</t>
  </si>
  <si>
    <t>BMR</t>
  </si>
  <si>
    <t>Onsite Units Created</t>
  </si>
  <si>
    <t>Total Onsite Units</t>
  </si>
  <si>
    <t>BMR Units</t>
  </si>
  <si>
    <t>Total BMR Units Supported</t>
  </si>
  <si>
    <t>Total BMR as % of All Units</t>
  </si>
  <si>
    <t>Percent</t>
  </si>
  <si>
    <t>4) All Affordable</t>
  </si>
  <si>
    <t>Impact Fees</t>
  </si>
  <si>
    <t>In Lieu Fees</t>
  </si>
  <si>
    <t>Total/Percent</t>
  </si>
  <si>
    <t>Target BMR Onsite:</t>
  </si>
  <si>
    <t>% Proceeds to AHTF:</t>
  </si>
  <si>
    <t>All Impact Fees</t>
  </si>
  <si>
    <t>Res Impact Fees</t>
  </si>
  <si>
    <t>Impact Fees Negotiated (Under Agreement and NonRes)</t>
  </si>
  <si>
    <t>In Lieu Fees to AHTF (In Lieu - Current Impact Fee)</t>
  </si>
  <si>
    <t>90 sqft per unit for high rise</t>
  </si>
  <si>
    <t>high rise under 2b</t>
  </si>
  <si>
    <t>commercial under 2b</t>
  </si>
  <si>
    <t>Y</t>
  </si>
  <si>
    <t>1800 San Pablo</t>
  </si>
  <si>
    <t>Market Rate Housing</t>
  </si>
  <si>
    <t>Office</t>
  </si>
  <si>
    <t>Site Specific Assumptions:</t>
  </si>
  <si>
    <t>offsite funding per unit</t>
  </si>
  <si>
    <t>100% at 60% AMI or below</t>
  </si>
  <si>
    <t xml:space="preserve">Net Land Sale </t>
  </si>
  <si>
    <t>1) Full Market Value</t>
  </si>
  <si>
    <t>Market Rate Units</t>
  </si>
  <si>
    <t>1a) Offsite Affordable Units Funded</t>
  </si>
  <si>
    <t>1b) Offsite Affordable Units Funded</t>
  </si>
  <si>
    <t>City Subsidy Needed</t>
  </si>
  <si>
    <t>524 16TH STREET (Rotunda Garage)</t>
  </si>
  <si>
    <t xml:space="preserve">905 66TH AVE @ San Leandro                       </t>
  </si>
  <si>
    <t>BARCELONA STREET (Oak Knoll)</t>
  </si>
  <si>
    <t>Clay Street and 14th Steet (Clay St Garage)</t>
  </si>
  <si>
    <t>Howe Street at  40th St (Piedmont Ave parking lot)</t>
  </si>
  <si>
    <t>SUBTOTAL FUTURE DEVELOPMENT (EXCLUDING COLISEUM)</t>
  </si>
  <si>
    <t>Status of Key Future Development Sites - mostly from former Redevelopment Agency's Long Range Property Management Plan (LRPMP) (Draft for Review)</t>
  </si>
  <si>
    <t>Rotunda Garage</t>
  </si>
  <si>
    <t>Annual Benefits (2018 Values)</t>
  </si>
  <si>
    <t>One Time Benefits</t>
  </si>
  <si>
    <t>Year</t>
  </si>
  <si>
    <t>Residential Construction Cost/Unit</t>
  </si>
  <si>
    <t>Area Office (sqft)</t>
  </si>
  <si>
    <t>Office Cost/SqFt</t>
  </si>
  <si>
    <t>Area Retail (sqft)</t>
  </si>
  <si>
    <t>Retail Cost/SqFt</t>
  </si>
  <si>
    <t>Hotel Rooms</t>
  </si>
  <si>
    <t>Area Industrial &amp; Commercial (sqft)</t>
  </si>
  <si>
    <t>Industrial &amp; Commercial Cost/SqFt</t>
  </si>
  <si>
    <t>Property Tax to City                (29% of 1%)</t>
  </si>
  <si>
    <t>Other Property Taxes to City</t>
  </si>
  <si>
    <t>Sales Tax to City</t>
  </si>
  <si>
    <t>Business Tax to City (Rental Income)</t>
  </si>
  <si>
    <t>Transient Occupancy Tax to City</t>
  </si>
  <si>
    <t>Total City Fiscal Benefits</t>
  </si>
  <si>
    <t>Permanent
Jobs</t>
  </si>
  <si>
    <t>Sales Proceeds* (Restricted)</t>
  </si>
  <si>
    <t>Transfer Tax to City ++</t>
  </si>
  <si>
    <t>Construction Jobs</t>
  </si>
  <si>
    <t>Revenue Begins</t>
  </si>
  <si>
    <t>30 Year Recuring Benefits</t>
  </si>
  <si>
    <t>30 Year NPV of Benefits (5% discount rate)</t>
  </si>
  <si>
    <t>+</t>
  </si>
  <si>
    <t>% Affordable</t>
  </si>
  <si>
    <t>1911 TELEGRAPH AVENUE (Uptown Parcel 4)</t>
  </si>
  <si>
    <t>Midpoint</t>
  </si>
  <si>
    <t>Res PLA Costs</t>
  </si>
  <si>
    <t>NonRes PLA Costs</t>
  </si>
  <si>
    <t>NonRes Construction Costs</t>
  </si>
  <si>
    <t>Total PLA</t>
  </si>
  <si>
    <t>Construction Expenditures per man year</t>
  </si>
  <si>
    <t>Former Melrose Ford site 2 of 2</t>
  </si>
  <si>
    <t>Net AHTF Funding Generated/(Subsidy Required)</t>
  </si>
  <si>
    <t>a</t>
  </si>
  <si>
    <t>b</t>
  </si>
  <si>
    <t>Res Construction Cost</t>
  </si>
  <si>
    <t>Res Local Programs</t>
  </si>
  <si>
    <t>NonRes Local Programs</t>
  </si>
  <si>
    <t>PLA Inflator</t>
  </si>
  <si>
    <t>Local Program Inflator</t>
  </si>
  <si>
    <t>Low Rise</t>
  </si>
  <si>
    <t>Other Res PLA Costs</t>
  </si>
  <si>
    <t>Net AHTF Funding Generated/ Subsidy Required</t>
  </si>
  <si>
    <t>Affordable PLA Costs</t>
  </si>
  <si>
    <t>Area</t>
  </si>
  <si>
    <t>Fire Alarm Bldg</t>
  </si>
  <si>
    <t>2-91-1</t>
  </si>
  <si>
    <t>D-LM-4</t>
  </si>
  <si>
    <t>Miller Library</t>
  </si>
  <si>
    <t>20-153-6</t>
  </si>
  <si>
    <t>RM-2</t>
  </si>
  <si>
    <t>The library recently burned down, so it is likely that any disposition of this parcel would be the land only.</t>
  </si>
  <si>
    <t>RH-4</t>
  </si>
  <si>
    <t>Old Fire Station #24</t>
  </si>
  <si>
    <t>48-5617-9-1; 48-5617-10-4</t>
  </si>
  <si>
    <t>48F-7361-11; 48F-7361-12</t>
  </si>
  <si>
    <t>City land and building</t>
  </si>
  <si>
    <t>This engine house (old Fire Station #24) is part of the Oakland Fire Department.  This site has been condemned and the interior was not accessible. City is in the process of issuing a NODO (RFP) on these parcels.</t>
  </si>
  <si>
    <t>Army Base</t>
  </si>
  <si>
    <t>None</t>
  </si>
  <si>
    <t>fire alarm</t>
  </si>
  <si>
    <t>Moraga fire station</t>
  </si>
  <si>
    <t>1 unit per lot, min lot 5,000</t>
  </si>
  <si>
    <t>Commercial/Office</t>
  </si>
  <si>
    <t>maximize based on Lennar proposal</t>
  </si>
  <si>
    <t>PLA Threshold</t>
  </si>
  <si>
    <t>1310 Oak St (Fire Alarm Bldg)</t>
  </si>
  <si>
    <t>1449 Miller Ave (Miller Library Site)</t>
  </si>
  <si>
    <t>Miller Library Site</t>
  </si>
  <si>
    <t>2656 98th Ave; 2660 98th Ave (8th Ave and Stearns)</t>
  </si>
  <si>
    <t>6226 Moraga Ave (Old Fire Station #24)</t>
  </si>
  <si>
    <t>Program Threshold</t>
  </si>
  <si>
    <t>SUBTOTAL MARKET RATE RESIDENTIAL</t>
  </si>
  <si>
    <t>SUBTOTAL AFFORDABLE HOUSING</t>
  </si>
  <si>
    <t>100% @ 60% AMI</t>
  </si>
  <si>
    <t xml:space="preserve">CBD-P/ CBD-R      </t>
  </si>
  <si>
    <t>Max Units (Zoning Density)</t>
  </si>
  <si>
    <t>CA to City</t>
  </si>
  <si>
    <t>CA to Other Entities</t>
  </si>
  <si>
    <t>Total Land Sale Proceeds to City</t>
  </si>
  <si>
    <t>On City Land</t>
  </si>
  <si>
    <t>Clay St Garage</t>
  </si>
  <si>
    <t>Rotunda Garage Remainder</t>
  </si>
  <si>
    <t>Housing site</t>
  </si>
  <si>
    <t>040-3317-032; 040-3317-048-13</t>
  </si>
  <si>
    <t xml:space="preserve">032-2084-050; 032-2084-051; 032-2115-037-01; 032-2115-038-01 </t>
  </si>
  <si>
    <t>025-0733-008-02; 025-0733-008-03</t>
  </si>
  <si>
    <t>044-5014-005; 044-5014-006-03</t>
  </si>
  <si>
    <t>012-0993-004; 012-0993-005; 012-0993-006-01</t>
  </si>
  <si>
    <t>Subcategory</t>
  </si>
  <si>
    <t>043A-4644-026; 043A-4644-028</t>
  </si>
  <si>
    <t>8280 MacArthur Blvd; 8296 MACARTHUR BLVD</t>
  </si>
  <si>
    <t>6,700 sf lot with vacant and boarded up 4-plex structure; 6,000 sf vacant lot</t>
  </si>
  <si>
    <t>12-964-4; 12-964-5</t>
  </si>
  <si>
    <t>3829, 3823 Martin Luther King Jr Way</t>
  </si>
  <si>
    <t>B/M/SP</t>
  </si>
  <si>
    <t>Only commercial allowed</t>
  </si>
  <si>
    <t>reduction for site’s constraints -- most notably that a fault line runs right through the existing building. An April 2015 appraisal that Real Estate commissioned valued the site at $750,000 ($500K and $250K), although Real Estate listed the starting offer price in their NODO to be $1.25 M ($750K and $500K)</t>
  </si>
  <si>
    <t>lower for easement? Lower compared to 1800 San Pablo?</t>
  </si>
  <si>
    <t>Neighborhood</t>
  </si>
  <si>
    <t>Downtown</t>
  </si>
  <si>
    <t>Hotel Cost/Room</t>
  </si>
  <si>
    <t>Hotel</t>
  </si>
  <si>
    <t>30-Year NPV of Fiscal Benefits (5% Discount Rate)</t>
  </si>
  <si>
    <t>Funds Available for Other City Purposes</t>
  </si>
  <si>
    <t>Total Funds Available for Other City Purposes</t>
  </si>
  <si>
    <t>Fiscal</t>
  </si>
  <si>
    <t>Scenario 1A</t>
  </si>
  <si>
    <t>Rents</t>
  </si>
  <si>
    <t>Existing Building Sqft</t>
  </si>
  <si>
    <t>Office (sqft)</t>
  </si>
  <si>
    <t>Retail (sqft)</t>
  </si>
  <si>
    <t>Hotel (Rooms)</t>
  </si>
  <si>
    <t>Industrial (sqft)</t>
  </si>
  <si>
    <t>Institutional (sqft)</t>
  </si>
  <si>
    <t>Non-residential (sqft)</t>
  </si>
  <si>
    <t>Jobs Housing Impact Fee</t>
  </si>
  <si>
    <t>Adjusted Impact Fees</t>
  </si>
  <si>
    <t>Area Institutional (sqft)</t>
  </si>
  <si>
    <t>Institutional Cost/SqFt</t>
  </si>
  <si>
    <t>Scenario 4) All Affordable</t>
  </si>
  <si>
    <t>Scenario 2b) Staff Revised Strategy</t>
  </si>
  <si>
    <t>30-Year Fiscal Benefits</t>
  </si>
  <si>
    <t>Transfer Tax</t>
  </si>
  <si>
    <t>CWN</t>
  </si>
  <si>
    <t>Fiscal Benefits NPV</t>
  </si>
  <si>
    <t>FAR</t>
  </si>
  <si>
    <t>LM-45</t>
  </si>
  <si>
    <t>Total Residential Units Allowed</t>
  </si>
  <si>
    <t>Total Commercial Allowed (SqFt)</t>
  </si>
  <si>
    <t>Market Rate Residential</t>
  </si>
  <si>
    <t>Appraised Land Value (for Property Tax)</t>
  </si>
  <si>
    <t>Sale Adjustment</t>
  </si>
  <si>
    <t>Assessed Value for Property Taxes</t>
  </si>
  <si>
    <t>18-310-7-7; 18-310-14</t>
  </si>
  <si>
    <t>3-67-4</t>
  </si>
  <si>
    <t>Scenario 3) CWN</t>
  </si>
  <si>
    <t>All Sites</t>
  </si>
  <si>
    <t>Highrise</t>
  </si>
  <si>
    <t>Impact Fee Zone</t>
  </si>
  <si>
    <t>City Subsidy</t>
  </si>
  <si>
    <t>Land Sale Reduction for BMR</t>
  </si>
  <si>
    <t>Commercial/Office (Jobs Housing)</t>
  </si>
  <si>
    <t>Land Sale - Reductions</t>
  </si>
  <si>
    <t>Onsite BMR</t>
  </si>
  <si>
    <t>share of CA to City</t>
  </si>
  <si>
    <t>share of CA to Other Entities</t>
  </si>
  <si>
    <t>15% @ 80% AMI</t>
  </si>
  <si>
    <t>3) Surplus Lands Minimum</t>
  </si>
  <si>
    <t>15% at 80% AMI</t>
  </si>
  <si>
    <t>80% AMI</t>
  </si>
  <si>
    <t>60% AMI</t>
  </si>
  <si>
    <t>FMV 0%</t>
  </si>
  <si>
    <t>FMV 100%</t>
  </si>
  <si>
    <t>City Staff</t>
  </si>
  <si>
    <t>100% LHTC</t>
  </si>
  <si>
    <t>30% AMI</t>
  </si>
  <si>
    <t>120% AMI</t>
  </si>
  <si>
    <t>Rent Level</t>
  </si>
  <si>
    <t>Land Sale with Impact Fee Adjustment</t>
  </si>
  <si>
    <t>Reduction in Residual Land Value per Unit</t>
  </si>
  <si>
    <t>Decrease in Income from BMR Unit</t>
  </si>
  <si>
    <t>Net Average Annual BMR Rent per Unit</t>
  </si>
  <si>
    <t>Less: Vacancy at 2%</t>
  </si>
  <si>
    <t>Average Annual BMR Rent per Unit</t>
  </si>
  <si>
    <t>Net Average Annual Market Rate Rent per Unit</t>
  </si>
  <si>
    <t>Less: Vacancy at 5%</t>
  </si>
  <si>
    <t>Average Annual Market Rate Rent per Unit</t>
  </si>
  <si>
    <t>Prototype Unit Mix</t>
  </si>
  <si>
    <t>Target Yield</t>
  </si>
  <si>
    <t>Market Rate Rent per Square Foot</t>
  </si>
  <si>
    <t>Average Unit Size</t>
  </si>
  <si>
    <t>Prototype</t>
  </si>
  <si>
    <t>Scenario</t>
  </si>
  <si>
    <t>Affordable Housing Residual Land Value Impact Analysis</t>
  </si>
  <si>
    <t>Weighted Average Rent @ 15% BMR</t>
  </si>
  <si>
    <t>120% of Median Income</t>
  </si>
  <si>
    <t>80% of Median Income</t>
  </si>
  <si>
    <t>60% of Median Income</t>
  </si>
  <si>
    <t>30% of Median Income</t>
  </si>
  <si>
    <t>4 BR</t>
  </si>
  <si>
    <t>3 BR</t>
  </si>
  <si>
    <t>2 BR</t>
  </si>
  <si>
    <t>1 BR</t>
  </si>
  <si>
    <t>Studio</t>
  </si>
  <si>
    <t>BMR Rents (per SLA)</t>
  </si>
  <si>
    <t>lowrise</t>
  </si>
  <si>
    <t>Column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</si>
  <si>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</si>
  <si>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</si>
  <si>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</si>
  <si>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</si>
  <si>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</si>
  <si>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</si>
  <si>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</si>
  <si>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</si>
  <si>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</si>
  <si>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</si>
  <si>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</si>
  <si>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[L]</t>
  </si>
  <si>
    <t>Property Program/Information</t>
  </si>
  <si>
    <t>Land Area (SF)</t>
  </si>
  <si>
    <t>BMR
Units</t>
  </si>
  <si>
    <t>Commercial (SF)</t>
  </si>
  <si>
    <t>Adjusted Midrange Unrestricted FMV</t>
  </si>
  <si>
    <t>=</t>
  </si>
  <si>
    <t>100% BMR Housing Subsidy [1]
[B] x [b]</t>
  </si>
  <si>
    <t>Subtotal 100% BMR Housing</t>
  </si>
  <si>
    <t/>
  </si>
  <si>
    <t>Subtotal Market Rate Residential</t>
  </si>
  <si>
    <t>Subtotal Commercial/Office</t>
  </si>
  <si>
    <t>Affordable Housing % of Total Units</t>
  </si>
  <si>
    <t>Assumptions:</t>
  </si>
  <si>
    <t>[a] Affordable Housing Impact Fee per Unit</t>
  </si>
  <si>
    <t>[c] In-Lieu Fee for High-Rise</t>
  </si>
  <si>
    <t>[d] In-Lieu Fee for Low-Rise</t>
  </si>
  <si>
    <t>Notes:</t>
  </si>
  <si>
    <t>Project Program</t>
  </si>
  <si>
    <t>Gross Land Proceeds to/Subsidy Required from AHTF</t>
  </si>
  <si>
    <t>Construction Costs</t>
  </si>
  <si>
    <t>Threshold</t>
  </si>
  <si>
    <t>High-rise?</t>
  </si>
  <si>
    <t>Constr. Cost</t>
  </si>
  <si>
    <t>[1] For 100% BMR housing, estimated at $125,000 per unit less estimated acquisition cost per unit of approximately $23,200.</t>
  </si>
  <si>
    <t>Include Impact Fee Credit?</t>
  </si>
  <si>
    <t>high rise</t>
  </si>
  <si>
    <t>Max In Lieu Fee</t>
  </si>
  <si>
    <t>In Lieu Fee Applied</t>
  </si>
  <si>
    <t>Barcelona Site (Oak Knoll)</t>
  </si>
  <si>
    <t>MLK Sites</t>
  </si>
  <si>
    <t>8280 &amp; 8296 MacArthur</t>
  </si>
  <si>
    <t>98th &amp; Stearns</t>
  </si>
  <si>
    <t>Piedmont Ave/Howe St Parking</t>
  </si>
  <si>
    <t xml:space="preserve"> Impact Fees</t>
  </si>
  <si>
    <t>Land Value Available for In Lieu</t>
  </si>
  <si>
    <t>15% Onsite Minimum</t>
  </si>
  <si>
    <t>[1]</t>
  </si>
  <si>
    <t>[2]</t>
  </si>
  <si>
    <t xml:space="preserve">[4] Per Councilmember proposal, PLA applies to all residential projects of at least 80 units and all nonresidential projects of at least $40 million in construction costs. </t>
  </si>
  <si>
    <t>Unit Production and Local Programs [3]</t>
  </si>
  <si>
    <t>Offsite (Funded) [6]</t>
  </si>
  <si>
    <t>[5] Assumes local programs apply to all market rate residential projects of at least 80 units and all nonresidential projects of at least $40 million in construction costs.</t>
  </si>
  <si>
    <t>[2] Accounts for labor costs of local programs for market rate and affordable projects, as well as cost of PLA.</t>
  </si>
  <si>
    <t>[1] Accounts for labor costs of local programs for projects where land sale is discounted.</t>
  </si>
  <si>
    <t>Land Sale - Local Programs and PLA</t>
  </si>
  <si>
    <t>Land Sale - Reductions (before PLA and Local Programs)</t>
  </si>
  <si>
    <t>Land Value</t>
  </si>
  <si>
    <t xml:space="preserve">[6] All scenarios assume total costs of developing one affordable housing unit offsite in a 100% affordable project at $125,000, based on 10 projects in most recent NOFA solicitation. </t>
  </si>
  <si>
    <t>In Lieu Fees Applied</t>
  </si>
  <si>
    <t>Net AHTF with In Lieu</t>
  </si>
  <si>
    <t>Full Model</t>
  </si>
  <si>
    <t>In-Lieu Fee per Total Unit</t>
  </si>
  <si>
    <t>BMR Allocation</t>
  </si>
  <si>
    <t>SURPLUS LANDS MINIMUM</t>
  </si>
  <si>
    <t>Land Sale</t>
  </si>
  <si>
    <t>residential</t>
  </si>
  <si>
    <t>commercial</t>
  </si>
  <si>
    <t>Commercial?</t>
  </si>
  <si>
    <t>Affordable Housing Impact Fee
[C] x [a]</t>
  </si>
  <si>
    <t>Inclusionary Unit</t>
  </si>
  <si>
    <t>LIHTC Unit</t>
  </si>
  <si>
    <t>Federal/State Subsidies</t>
  </si>
  <si>
    <t>c = a-b</t>
  </si>
  <si>
    <t>d = c/$125k</t>
  </si>
  <si>
    <t>15% @ 80% AMI (All Lowrise)</t>
  </si>
  <si>
    <t>[M]</t>
  </si>
  <si>
    <t>Net Funding</t>
  </si>
  <si>
    <t>Local Hire and PLA</t>
  </si>
  <si>
    <t>[d] Low-Rise Construction Cost per Unit</t>
  </si>
  <si>
    <t>NOI per unit</t>
  </si>
  <si>
    <t>Cap Rate</t>
  </si>
  <si>
    <t>15% @ 50% AMI</t>
  </si>
  <si>
    <t>Net Project Value</t>
  </si>
  <si>
    <t>50% of Median Income</t>
  </si>
  <si>
    <t>50% AMI</t>
  </si>
  <si>
    <t>Development Cost</t>
  </si>
  <si>
    <t>Less: Operating Costs at 20%</t>
  </si>
  <si>
    <t>Impact Fees (that would be charged if under 15% BMR)</t>
  </si>
  <si>
    <t>Jobs Housing Fees and Under Agreement</t>
  </si>
  <si>
    <t>Subtotal 15% @ 80% AMI</t>
  </si>
  <si>
    <t>1b) Full Market Value</t>
  </si>
  <si>
    <t>[3] Local programs are required for any projects where land sale is discounted.</t>
  </si>
  <si>
    <t>SUBTOTAL Commercial</t>
  </si>
  <si>
    <t xml:space="preserve">       While projects receiving A1 funds must apply PLA, any A1 funds awarded would cover the cost of PLA.</t>
  </si>
  <si>
    <t>Local Gap Subsidy: Land Acquisition Costs</t>
  </si>
  <si>
    <t>Value Based on Net Rent (50% AMI)*</t>
  </si>
  <si>
    <t>Estimated Years to Fund</t>
  </si>
  <si>
    <t>Strategy</t>
  </si>
  <si>
    <t>Total Sale Proceeds Generated</t>
  </si>
  <si>
    <t>Net Proceeds to GPF/Redevelopment Funds</t>
  </si>
  <si>
    <t>Gross AHTF Funds Generated (incl. fees)</t>
  </si>
  <si>
    <t>Total Units Produced</t>
  </si>
  <si>
    <t>Local Gap Subsidy</t>
  </si>
  <si>
    <t>BMR Housing Value Impact [1]
[B] x [a] or [b]</t>
  </si>
  <si>
    <t>[b] Affordable Housing Subsidy for Low-Rise</t>
  </si>
  <si>
    <t>[c] Portion of Land Proceeds to AHTF</t>
  </si>
  <si>
    <t>High Rise?</t>
  </si>
  <si>
    <t>2) Surplus Lands Minimum</t>
  </si>
  <si>
    <t>1a) Full Market 
Value</t>
  </si>
  <si>
    <t>40% - 80%</t>
  </si>
  <si>
    <t>&gt;=20% BMR 
Portfolio-Wide</t>
  </si>
  <si>
    <t>[c] Portion of Land Proceeds to AHTF (Res.)</t>
  </si>
  <si>
    <t>[d] Portion of Land Proceeds to AHTF (Comm.)</t>
  </si>
  <si>
    <t>Land Sale Proceeds to AHTF
[E] x [c] or d]</t>
  </si>
  <si>
    <t>Jobs/
Housing Impact Fee</t>
  </si>
  <si>
    <t>Local Hire</t>
  </si>
  <si>
    <t>[e] Local Hire Inflator</t>
  </si>
  <si>
    <t>[f] PLA Inflator</t>
  </si>
  <si>
    <t>PLA</t>
  </si>
  <si>
    <t>STAFF PUBLIC LANDS STRATEGY</t>
  </si>
  <si>
    <t>Impact/In Lieu Fees</t>
  </si>
  <si>
    <t>[b] LIHTC Housing Subsidy</t>
  </si>
  <si>
    <t>[a] LIHTC Housing Subsidy</t>
  </si>
  <si>
    <t>BMR Housing Value Impact
[B] x [b]</t>
  </si>
  <si>
    <t>Commerc-
ial (SF)</t>
  </si>
  <si>
    <t>Credit for Aff. Housing Impact Fee</t>
  </si>
  <si>
    <t>Adjusted FMV</t>
  </si>
  <si>
    <t>Land Value (Adjusted for Aff. Housing Impact Fee)</t>
  </si>
  <si>
    <t>Total Units Created/Funded</t>
  </si>
  <si>
    <t>Formula</t>
  </si>
  <si>
    <t>Jobs/
Housing or Aff. Housing Impact Fee</t>
  </si>
  <si>
    <t>BMR Housing (LIHTC)</t>
  </si>
  <si>
    <t>COMPARISON OF SCENARIOS FOR FUTURE DEVELOPMENT (20 SITES, EXCLUDING COLISEUM)</t>
  </si>
  <si>
    <t>CWN - ALL AFFORDABLE</t>
  </si>
  <si>
    <t>[1] Estimated at $125,000 per unit less estimated acquisition cost per unit of $23,248.</t>
  </si>
  <si>
    <t>[1] For BMR housing (LIHTC), estimated at $125,000 per unit less estimated  acquisition cost per unit of $23,248.</t>
  </si>
  <si>
    <t>(Additional City Subsidy Needed)</t>
  </si>
  <si>
    <t>3-4 years</t>
  </si>
  <si>
    <t>10-14 years</t>
  </si>
  <si>
    <t>(except Oak Knoll, which is subject to a compensation agreement, and MLK sites and Wood Street, where 100% of land proceeds must go to the AHTF)</t>
  </si>
  <si>
    <t># Sites Designated for Market-Rate Residential</t>
  </si>
  <si>
    <t>Commercial/Office Sqft</t>
  </si>
  <si>
    <t># Sites Designated for Commercial</t>
  </si>
  <si>
    <t>GUILLEN/KAPLAN PROPOSAL</t>
  </si>
  <si>
    <t>043A464400202; 043A464402509; 043A-4644-009-02</t>
  </si>
  <si>
    <t>Proposal</t>
  </si>
  <si>
    <t># Sites Designated for 100% Affordable Housing*</t>
  </si>
  <si>
    <t>4-6 years</t>
  </si>
  <si>
    <t># Sites Designated for 15% BMR (80% AMI)*</t>
  </si>
  <si>
    <t>100% BMR and 15% @ 80@ AMI</t>
  </si>
  <si>
    <t>d</t>
  </si>
  <si>
    <t>Total Net City Fund Impact (AHTF + Other)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</si>
  <si>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 summary of all current proposals modeled, as well as hypothetical “bookend” scenarios – see </t>
    </r>
    <r>
      <rPr>
        <b/>
        <u/>
        <sz val="11"/>
        <color theme="1"/>
        <rFont val="Calibri"/>
        <family val="2"/>
        <scheme val="minor"/>
      </rPr>
      <t>Summary</t>
    </r>
    <r>
      <rPr>
        <sz val="11"/>
        <color theme="1"/>
        <rFont val="Calibri"/>
        <family val="2"/>
        <scheme val="minor"/>
      </rPr>
      <t xml:space="preserve"> worksheet;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</si>
  <si>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An alternate presentation of the same data in the Summary worksheet, focusing just on the three current alternate proposals and excluding the hypothetical “bookend” scenarios – see </t>
    </r>
    <r>
      <rPr>
        <b/>
        <u/>
        <sz val="11"/>
        <color theme="1"/>
        <rFont val="Calibri"/>
        <family val="2"/>
        <scheme val="minor"/>
      </rPr>
      <t>Key Results</t>
    </r>
    <r>
      <rPr>
        <sz val="11"/>
        <color theme="1"/>
        <rFont val="Calibri"/>
        <family val="2"/>
        <scheme val="minor"/>
      </rPr>
      <t xml:space="preserve"> worksheet;</t>
    </r>
  </si>
  <si>
    <r>
      <t>d.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Calculations for the reduction in land value for 15% onsite affordable units at 80% AMI, which were used to determine the reduction in land value for inclusionary units under the Guillen/Kaplan proposal - see </t>
    </r>
    <r>
      <rPr>
        <b/>
        <u/>
        <sz val="11"/>
        <color theme="1"/>
        <rFont val="Calibri"/>
        <family val="2"/>
        <scheme val="minor"/>
      </rPr>
      <t>Land Value Analysis_80%AMI</t>
    </r>
    <r>
      <rPr>
        <sz val="11"/>
        <color theme="1"/>
        <rFont val="Calibri"/>
        <family val="2"/>
        <scheme val="minor"/>
      </rPr>
      <t xml:space="preserve"> and </t>
    </r>
    <r>
      <rPr>
        <b/>
        <u/>
        <sz val="11"/>
        <color theme="1"/>
        <rFont val="Calibri"/>
        <family val="2"/>
        <scheme val="minor"/>
      </rPr>
      <t>BMR Rents_80%AMI</t>
    </r>
    <r>
      <rPr>
        <sz val="11"/>
        <color theme="1"/>
        <rFont val="Calibri"/>
        <family val="2"/>
        <scheme val="minor"/>
      </rPr>
      <t xml:space="preserve"> worksheets</t>
    </r>
  </si>
  <si>
    <r>
      <t>e.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Calculations for the subsidy comparison graphic that compares the estimated local gap subsidy needed for inclusionary versus LIHTC units at 50% of AMI in low-rise and high-rise buildings – see </t>
    </r>
    <r>
      <rPr>
        <b/>
        <u/>
        <sz val="11"/>
        <color theme="1"/>
        <rFont val="Calibri"/>
        <family val="2"/>
        <scheme val="minor"/>
      </rPr>
      <t>SubsidyComparisonGraphic</t>
    </r>
    <r>
      <rPr>
        <sz val="11"/>
        <color theme="1"/>
        <rFont val="Calibri"/>
        <family val="2"/>
        <scheme val="minor"/>
      </rPr>
      <t xml:space="preserve"> and </t>
    </r>
    <r>
      <rPr>
        <b/>
        <u/>
        <sz val="11"/>
        <color theme="1"/>
        <rFont val="Calibri"/>
        <family val="2"/>
        <scheme val="minor"/>
      </rPr>
      <t>BMR Rents_Staff_50AMI</t>
    </r>
    <r>
      <rPr>
        <sz val="11"/>
        <color theme="1"/>
        <rFont val="Calibri"/>
        <family val="2"/>
        <scheme val="minor"/>
      </rPr>
      <t xml:space="preserve"> worksheets.</t>
    </r>
  </si>
  <si>
    <t>3) Guillen/Kaplan (60% for 20 Sites)</t>
  </si>
  <si>
    <t>4) Staff Public Lands Strategy</t>
  </si>
  <si>
    <t>5) Guillen/Kaplan (70% for 20 Sites)</t>
  </si>
  <si>
    <t>6) CWN - All Affordable</t>
  </si>
  <si>
    <t>Staff</t>
  </si>
  <si>
    <t>(60% BMR)</t>
  </si>
  <si>
    <t>Guillen/</t>
  </si>
  <si>
    <t>Kaplan</t>
  </si>
  <si>
    <t>(70% BMR)</t>
  </si>
  <si>
    <t>CWN June</t>
  </si>
  <si>
    <t>(100% BMR)</t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</si>
  <si>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Site-by-site summary breakdowns for the City Strategy, the CWN June Proposal, and Guillen/Kaplan’s Proposal – see </t>
    </r>
    <r>
      <rPr>
        <b/>
        <u/>
        <sz val="11"/>
        <color theme="1"/>
        <rFont val="Calibri"/>
        <family val="2"/>
        <scheme val="minor"/>
      </rPr>
      <t>Staff Strategy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CWN June</t>
    </r>
    <r>
      <rPr>
        <sz val="11"/>
        <color theme="1"/>
        <rFont val="Calibri"/>
        <family val="2"/>
        <scheme val="minor"/>
      </rPr>
      <t xml:space="preserve"> and </t>
    </r>
    <r>
      <rPr>
        <b/>
        <u/>
        <sz val="11"/>
        <color theme="1"/>
        <rFont val="Calibri"/>
        <family val="2"/>
        <scheme val="minor"/>
      </rPr>
      <t>Guillen-Kaplan</t>
    </r>
    <r>
      <rPr>
        <sz val="11"/>
        <color theme="1"/>
        <rFont val="Calibri"/>
        <family val="2"/>
        <scheme val="minor"/>
      </rPr>
      <t xml:space="preserve"> worksheets. The </t>
    </r>
    <r>
      <rPr>
        <b/>
        <u/>
        <sz val="11"/>
        <color theme="1"/>
        <rFont val="Calibri"/>
        <family val="2"/>
        <scheme val="minor"/>
      </rPr>
      <t>Guillen-Kaplan_60%</t>
    </r>
    <r>
      <rPr>
        <sz val="11"/>
        <color theme="1"/>
        <rFont val="Calibri"/>
        <family val="2"/>
        <scheme val="minor"/>
      </rPr>
      <t xml:space="preserve"> worksheet shows an alternate outcome of the proposal.</t>
    </r>
  </si>
  <si>
    <r>
      <t xml:space="preserve">*While the </t>
    </r>
    <r>
      <rPr>
        <b/>
        <u/>
        <sz val="11"/>
        <color theme="1"/>
        <rFont val="Calibri"/>
        <family val="2"/>
        <scheme val="minor"/>
      </rPr>
      <t>Sites</t>
    </r>
    <r>
      <rPr>
        <sz val="11"/>
        <color theme="1"/>
        <rFont val="Calibri"/>
        <family val="2"/>
        <scheme val="minor"/>
      </rPr>
      <t xml:space="preserve"> worksheet is provided in the interest of completeness and transparency, please note that the site-by-site summary breakdowns contain many of the same calculations, while focusing on the differences in each proposal, and have been presented in a format that is easier to read.</t>
    </r>
  </si>
  <si>
    <t>GUILLEN/KAPLAN PROPOSAL (60% BMR)</t>
  </si>
  <si>
    <r>
      <t>f.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 xml:space="preserve">A </t>
    </r>
    <r>
      <rPr>
        <b/>
        <u/>
        <sz val="11"/>
        <color theme="1"/>
        <rFont val="Calibri"/>
        <family val="2"/>
        <scheme val="minor"/>
      </rPr>
      <t>Sites</t>
    </r>
    <r>
      <rPr>
        <sz val="11"/>
        <color theme="1"/>
        <rFont val="Calibri"/>
        <family val="2"/>
        <scheme val="minor"/>
      </rPr>
      <t xml:space="preserve"> worksheet that applies all assumptions (described in a separate pdf available on the website) to all the individual sites in the public lands portfolio.* </t>
    </r>
  </si>
  <si>
    <t>This file provides full analysis backup for the public lands staff report and supplemental reports through 7/13/2018. The file includes: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</si>
</sst>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_([$$-409]* #,##0_);_([$$-409]* \(#,##0\);_([$$-409]* &quot;-&quot;??_);_(@_)"/>
    <numFmt numFmtId="169" formatCode="#,##0.0_);[Red]\(#,##0.0\)"/>
    <numFmt numFmtId="170" formatCode="_-&quot;$&quot;* #,##0.00_-;\-&quot;$&quot;* #,##0.00_-;_-&quot;$&quot;* &quot;-&quot;??_-;_-@_-"/>
    <numFmt numFmtId="171" formatCode="_-* #,##0.00_-;\-* #,##0.00_-;_-* &quot;-&quot;??_-;_-@_-"/>
    <numFmt numFmtId="172" formatCode="_([$€-2]* #,##0.00_);_([$€-2]* \(#,##0.00\);_([$€-2]* &quot;-&quot;??_)"/>
    <numFmt numFmtId="173" formatCode="0%;_(@_)"/>
    <numFmt numFmtId="174" formatCode="0.0"/>
    <numFmt numFmtId="175" formatCode="&quot;$&quot;#,##0_);[Red]\(&quot;$&quot;#,##0\);_(* &quot;-&quot;??_)"/>
    <numFmt numFmtId="176" formatCode="&quot;$&quot;#,,&quot;M &quot;;[Red]\(&quot;$&quot;#,##0\);;_(@_)"/>
    <numFmt numFmtId="177" formatCode="&quot;$&quot;#,,&quot;M &quot;;[Red]\(&quot;$&quot;#,,&quot;M&quot;\)&quot; &quot;;;_(@_)"/>
    <numFmt numFmtId="178" formatCode="&quot;$&quot;#,,&quot;M &quot;;[Red]\(&quot;$&quot;#,,&quot;M&quot;\)&quot; &quot;;&quot;$&quot;0\ ;_(@_)"/>
    <numFmt numFmtId="179" formatCode="_(&quot;$&quot;* #,##0.00_);_(&quot;$&quot;* \(#,##0.00\);_(&quot;$&quot;* &quot;-&quot;_);_(@_)"/>
    <numFmt numFmtId="180" formatCode="#,##0;#,##0"/>
    <numFmt numFmtId="181" formatCode="_(&quot;$&quot;#0.0,,&quot;M&quot;_);_(\(&quot;$&quot;#0.0,,&quot;M&quot;\);_(* &quot;-&quot;_);_(@_)"/>
    <numFmt numFmtId="182" formatCode="_(&quot;$&quot;#0,,&quot;M&quot;_);_(&quot;$&quot;* \(0#.0,,&quot;M&quot;\);_(&quot;$&quot;* &quot;-&quot;_);_(@_)"/>
    <numFmt numFmtId="183" formatCode="&quot;Y&quot;;&quot;&quot;;&quot;N&quot;"/>
    <numFmt numFmtId="184" formatCode="_(&quot;$&quot;* #,&quot;K&quot;_);_(&quot;$&quot;* \(#,##0\);_(&quot;$&quot;* &quot;-&quot;??_);_(@_)"/>
    <numFmt numFmtId="185" formatCode="&quot;$&quot;#,,&quot;M &quot;;[Red]\(&quot;$&quot;#,##0\);&quot;$&quot;0\ ;_(@_)"/>
    <numFmt numFmtId="186" formatCode="&quot;$&quot;#.00000,,&quot;M &quot;;[Red]\(&quot;$&quot;#,##0.00000\);;_(@_)"/>
    <numFmt numFmtId="187" formatCode="_(&quot;$&quot;#0.0000,,&quot;M&quot;_);_(\(&quot;$&quot;#0.0000,,&quot;M&quot;\);_(* &quot;-&quot;_);_(@_)"/>
    <numFmt numFmtId="188" formatCode="&quot;$&quot;\ #,##0_);\(&quot;$&quot;\ #,##0\)"/>
    <numFmt numFmtId="189" formatCode="_(&quot;$&quot;\ #,##0_);_(\(&quot;$&quot;\ #,##0\);_(&quot;$&quot;\ &quot;-&quot;_);_(@_)"/>
    <numFmt numFmtId="190" formatCode="#,##0%_);\(#,##0%\)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indexed="8"/>
      <name val="Book Antiqua"/>
      <family val="1"/>
    </font>
    <font>
      <b/>
      <sz val="11"/>
      <color theme="0"/>
      <name val="Book Antiqua"/>
      <family val="1"/>
    </font>
    <font>
      <b/>
      <sz val="11"/>
      <name val="Book Antiqua"/>
      <family val="1"/>
    </font>
    <font>
      <sz val="11"/>
      <color theme="0"/>
      <name val="Book Antiqua"/>
      <family val="1"/>
    </font>
    <font>
      <sz val="11"/>
      <name val="Book Antiqua"/>
      <family val="1"/>
    </font>
    <font>
      <b/>
      <u/>
      <sz val="11"/>
      <color theme="1"/>
      <name val="Book Antiqua"/>
      <family val="1"/>
    </font>
    <font>
      <u/>
      <sz val="11"/>
      <color theme="1"/>
      <name val="Book Antiqua"/>
      <family val="1"/>
    </font>
    <font>
      <sz val="10"/>
      <color rgb="FF000000"/>
      <name val="Times New Roman"/>
      <family val="1"/>
    </font>
    <font>
      <b/>
      <sz val="10"/>
      <color theme="0"/>
      <name val="Book Antiqua"/>
      <family val="1"/>
    </font>
    <font>
      <sz val="10"/>
      <color theme="4" tint="-0.499984740745262"/>
      <name val="Book Antiqua"/>
      <family val="1"/>
    </font>
    <font>
      <b/>
      <sz val="10"/>
      <color theme="4" tint="-0.499984740745262"/>
      <name val="Book Antiqua"/>
      <family val="1"/>
    </font>
    <font>
      <sz val="10"/>
      <color rgb="FF00000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rgb="FF000000"/>
      <name val="Book Antiqua"/>
      <family val="1"/>
    </font>
    <font>
      <sz val="10"/>
      <color rgb="FF000000"/>
      <name val="Times New Roman"/>
      <family val="1"/>
    </font>
    <font>
      <i/>
      <sz val="10"/>
      <color rgb="FF0000FF"/>
      <name val="Book Antiqua"/>
      <family val="1"/>
    </font>
    <font>
      <i/>
      <sz val="10"/>
      <color rgb="FF000000"/>
      <name val="Book Antiqua"/>
      <family val="1"/>
    </font>
    <font>
      <sz val="10"/>
      <color theme="0"/>
      <name val="Book Antiqua"/>
      <family val="1"/>
    </font>
    <font>
      <b/>
      <sz val="10"/>
      <color rgb="FFFF0000"/>
      <name val="Book Antiqua"/>
      <family val="1"/>
    </font>
    <font>
      <sz val="10"/>
      <color rgb="FF0000FF"/>
      <name val="Book Antiqua"/>
      <family val="1"/>
    </font>
    <font>
      <i/>
      <sz val="11"/>
      <color theme="1"/>
      <name val="Book Antiqua"/>
      <family val="1"/>
    </font>
    <font>
      <b/>
      <sz val="14"/>
      <color theme="1"/>
      <name val="Calibri"/>
      <family val="2"/>
      <scheme val="minor"/>
    </font>
    <font>
      <b/>
      <sz val="14"/>
      <name val="Book Antiqua"/>
      <family val="1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6" fillId="0" borderId="0"/>
    <xf numFmtId="171" fontId="26" fillId="0" borderId="0" applyFont="0" applyFill="0" applyBorder="0" applyAlignment="0" applyProtection="0"/>
    <xf numFmtId="172" fontId="28" fillId="0" borderId="0"/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1" fontId="27" fillId="0" borderId="0" applyFont="0" applyFill="0" applyBorder="0" applyAlignment="0" applyProtection="0"/>
    <xf numFmtId="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/>
    <xf numFmtId="0" fontId="30" fillId="0" borderId="0"/>
    <xf numFmtId="0" fontId="40" fillId="0" borderId="0"/>
    <xf numFmtId="9" fontId="4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57" fillId="0" borderId="0"/>
    <xf numFmtId="37" fontId="57" fillId="0" borderId="0" applyFont="0" applyFill="0" applyBorder="0" applyAlignment="0" applyProtection="0"/>
    <xf numFmtId="188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90" fontId="57" fillId="0" borderId="0" applyFont="0" applyFill="0" applyBorder="0" applyAlignment="0" applyProtection="0"/>
    <xf numFmtId="0" fontId="58" fillId="26" borderId="0" applyNumberFormat="0" applyBorder="0" applyAlignment="0" applyProtection="0"/>
    <xf numFmtId="0" fontId="1" fillId="0" borderId="0"/>
    <xf numFmtId="188" fontId="57" fillId="0" borderId="0" applyFont="0" applyFill="0" applyBorder="0" applyAlignment="0" applyProtection="0"/>
  </cellStyleXfs>
  <cellXfs count="903">
    <xf numFmtId="0" fontId="0" fillId="0" borderId="0" xfId="0"/>
    <xf numFmtId="164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Fill="1" applyBorder="1"/>
    <xf numFmtId="6" fontId="0" fillId="0" borderId="0" xfId="0" applyNumberFormat="1" applyFont="1" applyAlignment="1">
      <alignment horizontal="center"/>
    </xf>
    <xf numFmtId="0" fontId="0" fillId="0" borderId="0" xfId="0" applyFont="1"/>
    <xf numFmtId="6" fontId="0" fillId="0" borderId="0" xfId="0" applyNumberFormat="1" applyFont="1" applyFill="1" applyBorder="1" applyAlignment="1">
      <alignment horizontal="center"/>
    </xf>
    <xf numFmtId="38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6" fontId="0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vertical="top"/>
    </xf>
    <xf numFmtId="14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6" fontId="0" fillId="0" borderId="1" xfId="0" applyNumberFormat="1" applyFont="1" applyBorder="1" applyAlignment="1">
      <alignment horizontal="center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38" fontId="0" fillId="7" borderId="0" xfId="0" applyNumberFormat="1" applyFont="1" applyFill="1" applyAlignment="1">
      <alignment horizontal="center"/>
    </xf>
    <xf numFmtId="38" fontId="0" fillId="7" borderId="0" xfId="0" applyNumberFormat="1" applyFont="1" applyFill="1" applyBorder="1" applyAlignment="1">
      <alignment horizontal="center"/>
    </xf>
    <xf numFmtId="38" fontId="4" fillId="7" borderId="1" xfId="0" applyNumberFormat="1" applyFont="1" applyFill="1" applyBorder="1" applyAlignment="1">
      <alignment horizontal="center" wrapText="1"/>
    </xf>
    <xf numFmtId="38" fontId="0" fillId="7" borderId="1" xfId="0" applyNumberFormat="1" applyFont="1" applyFill="1" applyBorder="1" applyAlignment="1">
      <alignment horizontal="center" vertical="center"/>
    </xf>
    <xf numFmtId="0" fontId="0" fillId="0" borderId="0" xfId="0" quotePrefix="1"/>
    <xf numFmtId="0" fontId="0" fillId="2" borderId="0" xfId="0" applyFill="1"/>
    <xf numFmtId="9" fontId="0" fillId="7" borderId="1" xfId="2" applyFont="1" applyFill="1" applyBorder="1" applyAlignment="1">
      <alignment horizontal="center" vertical="center"/>
    </xf>
    <xf numFmtId="165" fontId="0" fillId="0" borderId="0" xfId="2" applyNumberFormat="1" applyFont="1"/>
    <xf numFmtId="0" fontId="8" fillId="0" borderId="0" xfId="3" applyFont="1" applyFill="1" applyBorder="1" applyAlignment="1" applyProtection="1"/>
    <xf numFmtId="0" fontId="7" fillId="0" borderId="0" xfId="3"/>
    <xf numFmtId="0" fontId="9" fillId="0" borderId="0" xfId="3" applyFont="1" applyFill="1" applyBorder="1" applyAlignment="1" applyProtection="1">
      <alignment horizontal="center" vertical="center"/>
    </xf>
    <xf numFmtId="0" fontId="7" fillId="0" borderId="5" xfId="3" applyBorder="1"/>
    <xf numFmtId="0" fontId="7" fillId="0" borderId="6" xfId="3" applyBorder="1"/>
    <xf numFmtId="0" fontId="12" fillId="0" borderId="0" xfId="3" applyFont="1" applyBorder="1" applyAlignment="1" applyProtection="1">
      <alignment horizontal="right"/>
    </xf>
    <xf numFmtId="0" fontId="13" fillId="0" borderId="0" xfId="3" applyFont="1" applyBorder="1" applyAlignment="1" applyProtection="1">
      <alignment horizontal="right" shrinkToFit="1"/>
    </xf>
    <xf numFmtId="0" fontId="7" fillId="0" borderId="0" xfId="3" applyBorder="1" applyProtection="1"/>
    <xf numFmtId="0" fontId="7" fillId="0" borderId="17" xfId="3" applyBorder="1" applyProtection="1"/>
    <xf numFmtId="0" fontId="14" fillId="11" borderId="19" xfId="3" applyFont="1" applyFill="1" applyBorder="1" applyProtection="1"/>
    <xf numFmtId="0" fontId="7" fillId="11" borderId="20" xfId="3" applyFill="1" applyBorder="1"/>
    <xf numFmtId="0" fontId="9" fillId="11" borderId="20" xfId="3" applyFont="1" applyFill="1" applyBorder="1" applyAlignment="1" applyProtection="1">
      <alignment horizontal="center" vertical="top" wrapText="1"/>
    </xf>
    <xf numFmtId="166" fontId="0" fillId="11" borderId="20" xfId="6" applyNumberFormat="1" applyFont="1" applyFill="1" applyBorder="1"/>
    <xf numFmtId="0" fontId="7" fillId="11" borderId="19" xfId="3" applyFill="1" applyBorder="1"/>
    <xf numFmtId="166" fontId="0" fillId="11" borderId="21" xfId="6" applyNumberFormat="1" applyFont="1" applyFill="1" applyBorder="1"/>
    <xf numFmtId="0" fontId="7" fillId="11" borderId="22" xfId="3" applyFill="1" applyBorder="1"/>
    <xf numFmtId="0" fontId="7" fillId="11" borderId="23" xfId="3" applyFill="1" applyBorder="1"/>
    <xf numFmtId="0" fontId="9" fillId="11" borderId="24" xfId="3" applyFont="1" applyFill="1" applyBorder="1" applyAlignment="1" applyProtection="1">
      <alignment horizontal="center"/>
    </xf>
    <xf numFmtId="0" fontId="7" fillId="11" borderId="25" xfId="3" applyFill="1" applyBorder="1" applyAlignment="1" applyProtection="1">
      <alignment horizontal="center" wrapText="1"/>
    </xf>
    <xf numFmtId="0" fontId="7" fillId="11" borderId="24" xfId="3" applyFill="1" applyBorder="1" applyAlignment="1" applyProtection="1">
      <alignment horizontal="center" wrapText="1"/>
    </xf>
    <xf numFmtId="0" fontId="7" fillId="11" borderId="26" xfId="3" applyFill="1" applyBorder="1" applyAlignment="1" applyProtection="1">
      <alignment horizontal="center" wrapText="1"/>
    </xf>
    <xf numFmtId="0" fontId="7" fillId="11" borderId="27" xfId="3" applyFill="1" applyBorder="1" applyAlignment="1" applyProtection="1">
      <alignment horizontal="center" wrapText="1"/>
    </xf>
    <xf numFmtId="0" fontId="7" fillId="11" borderId="28" xfId="3" applyFill="1" applyBorder="1" applyAlignment="1" applyProtection="1">
      <alignment horizontal="center" wrapText="1"/>
    </xf>
    <xf numFmtId="0" fontId="9" fillId="0" borderId="0" xfId="3" applyFont="1" applyBorder="1" applyProtection="1"/>
    <xf numFmtId="44" fontId="0" fillId="0" borderId="29" xfId="6" applyNumberFormat="1" applyFont="1" applyBorder="1" applyProtection="1"/>
    <xf numFmtId="44" fontId="0" fillId="0" borderId="29" xfId="6" applyNumberFormat="1" applyFont="1" applyBorder="1"/>
    <xf numFmtId="44" fontId="7" fillId="5" borderId="7" xfId="3" applyNumberFormat="1" applyFill="1" applyBorder="1"/>
    <xf numFmtId="44" fontId="0" fillId="0" borderId="30" xfId="6" applyNumberFormat="1" applyFont="1" applyBorder="1" applyProtection="1"/>
    <xf numFmtId="44" fontId="0" fillId="0" borderId="31" xfId="6" applyNumberFormat="1" applyFont="1" applyBorder="1"/>
    <xf numFmtId="44" fontId="7" fillId="0" borderId="15" xfId="3" applyNumberFormat="1" applyBorder="1"/>
    <xf numFmtId="44" fontId="7" fillId="0" borderId="16" xfId="3" applyNumberFormat="1" applyBorder="1"/>
    <xf numFmtId="0" fontId="7" fillId="12" borderId="0" xfId="3" applyFill="1" applyBorder="1" applyProtection="1"/>
    <xf numFmtId="44" fontId="0" fillId="9" borderId="13" xfId="6" applyNumberFormat="1" applyFont="1" applyFill="1" applyBorder="1" applyProtection="1"/>
    <xf numFmtId="6" fontId="0" fillId="9" borderId="13" xfId="6" applyNumberFormat="1" applyFont="1" applyFill="1" applyBorder="1" applyProtection="1"/>
    <xf numFmtId="44" fontId="7" fillId="10" borderId="7" xfId="3" applyNumberFormat="1" applyFill="1" applyBorder="1"/>
    <xf numFmtId="44" fontId="0" fillId="9" borderId="32" xfId="6" applyNumberFormat="1" applyFont="1" applyFill="1" applyBorder="1" applyProtection="1"/>
    <xf numFmtId="44" fontId="0" fillId="9" borderId="33" xfId="6" applyNumberFormat="1" applyFont="1" applyFill="1" applyBorder="1" applyProtection="1"/>
    <xf numFmtId="44" fontId="7" fillId="9" borderId="34" xfId="3" applyNumberFormat="1" applyFill="1" applyBorder="1"/>
    <xf numFmtId="44" fontId="7" fillId="9" borderId="35" xfId="3" applyNumberFormat="1" applyFill="1" applyBorder="1"/>
    <xf numFmtId="37" fontId="7" fillId="9" borderId="7" xfId="3" applyNumberFormat="1" applyFill="1" applyBorder="1" applyProtection="1">
      <protection locked="0"/>
    </xf>
    <xf numFmtId="44" fontId="7" fillId="9" borderId="13" xfId="3" applyNumberFormat="1" applyFill="1" applyBorder="1" applyProtection="1">
      <protection locked="0"/>
    </xf>
    <xf numFmtId="37" fontId="7" fillId="9" borderId="0" xfId="3" applyNumberFormat="1" applyFill="1" applyBorder="1" applyProtection="1">
      <protection locked="0"/>
    </xf>
    <xf numFmtId="37" fontId="7" fillId="9" borderId="7" xfId="3" applyNumberFormat="1" applyFill="1" applyBorder="1" applyAlignment="1" applyProtection="1">
      <alignment wrapText="1"/>
      <protection locked="0"/>
    </xf>
    <xf numFmtId="167" fontId="7" fillId="0" borderId="0" xfId="3" applyNumberFormat="1"/>
    <xf numFmtId="0" fontId="9" fillId="12" borderId="36" xfId="3" applyFont="1" applyFill="1" applyBorder="1" applyAlignment="1" applyProtection="1">
      <alignment horizontal="right"/>
    </xf>
    <xf numFmtId="44" fontId="9" fillId="0" borderId="13" xfId="6" applyNumberFormat="1" applyFont="1" applyBorder="1" applyProtection="1"/>
    <xf numFmtId="44" fontId="9" fillId="5" borderId="7" xfId="3" applyNumberFormat="1" applyFont="1" applyFill="1" applyBorder="1"/>
    <xf numFmtId="44" fontId="9" fillId="0" borderId="32" xfId="6" applyNumberFormat="1" applyFont="1" applyFill="1" applyBorder="1" applyProtection="1"/>
    <xf numFmtId="6" fontId="9" fillId="0" borderId="33" xfId="6" applyNumberFormat="1" applyFont="1" applyBorder="1" applyProtection="1"/>
    <xf numFmtId="44" fontId="9" fillId="0" borderId="34" xfId="3" applyNumberFormat="1" applyFont="1" applyFill="1" applyBorder="1"/>
    <xf numFmtId="44" fontId="9" fillId="0" borderId="35" xfId="3" applyNumberFormat="1" applyFont="1" applyBorder="1"/>
    <xf numFmtId="0" fontId="9" fillId="12" borderId="0" xfId="3" applyFont="1" applyFill="1" applyBorder="1" applyAlignment="1" applyProtection="1">
      <alignment horizontal="right"/>
    </xf>
    <xf numFmtId="44" fontId="9" fillId="0" borderId="13" xfId="6" applyNumberFormat="1" applyFont="1" applyFill="1" applyBorder="1" applyProtection="1"/>
    <xf numFmtId="44" fontId="9" fillId="0" borderId="33" xfId="6" applyNumberFormat="1" applyFont="1" applyFill="1" applyBorder="1" applyProtection="1"/>
    <xf numFmtId="44" fontId="0" fillId="0" borderId="13" xfId="6" applyNumberFormat="1" applyFont="1" applyBorder="1" applyProtection="1"/>
    <xf numFmtId="44" fontId="0" fillId="0" borderId="13" xfId="6" applyNumberFormat="1" applyFont="1" applyBorder="1"/>
    <xf numFmtId="44" fontId="0" fillId="0" borderId="32" xfId="6" applyNumberFormat="1" applyFont="1" applyBorder="1" applyProtection="1"/>
    <xf numFmtId="44" fontId="0" fillId="0" borderId="33" xfId="6" applyNumberFormat="1" applyFont="1" applyBorder="1"/>
    <xf numFmtId="44" fontId="7" fillId="0" borderId="34" xfId="3" applyNumberFormat="1" applyBorder="1"/>
    <xf numFmtId="44" fontId="7" fillId="0" borderId="35" xfId="3" applyNumberFormat="1" applyBorder="1"/>
    <xf numFmtId="0" fontId="9" fillId="12" borderId="0" xfId="3" applyFont="1" applyFill="1" applyBorder="1" applyProtection="1"/>
    <xf numFmtId="44" fontId="0" fillId="9" borderId="13" xfId="6" applyNumberFormat="1" applyFont="1" applyFill="1" applyBorder="1"/>
    <xf numFmtId="44" fontId="0" fillId="9" borderId="32" xfId="6" applyNumberFormat="1" applyFont="1" applyFill="1" applyBorder="1"/>
    <xf numFmtId="44" fontId="0" fillId="9" borderId="33" xfId="6" applyNumberFormat="1" applyFont="1" applyFill="1" applyBorder="1"/>
    <xf numFmtId="44" fontId="0" fillId="12" borderId="13" xfId="6" applyNumberFormat="1" applyFont="1" applyFill="1" applyBorder="1" applyProtection="1"/>
    <xf numFmtId="44" fontId="0" fillId="12" borderId="13" xfId="6" applyNumberFormat="1" applyFont="1" applyFill="1" applyBorder="1"/>
    <xf numFmtId="44" fontId="0" fillId="12" borderId="32" xfId="6" applyNumberFormat="1" applyFont="1" applyFill="1" applyBorder="1" applyProtection="1"/>
    <xf numFmtId="44" fontId="0" fillId="12" borderId="33" xfId="6" applyNumberFormat="1" applyFont="1" applyFill="1" applyBorder="1"/>
    <xf numFmtId="44" fontId="0" fillId="0" borderId="13" xfId="6" applyNumberFormat="1" applyFont="1" applyFill="1" applyBorder="1" applyProtection="1"/>
    <xf numFmtId="44" fontId="0" fillId="0" borderId="13" xfId="6" applyNumberFormat="1" applyFont="1" applyFill="1" applyBorder="1"/>
    <xf numFmtId="44" fontId="0" fillId="0" borderId="32" xfId="6" applyNumberFormat="1" applyFont="1" applyFill="1" applyBorder="1" applyProtection="1"/>
    <xf numFmtId="44" fontId="0" fillId="0" borderId="33" xfId="6" applyNumberFormat="1" applyFont="1" applyFill="1" applyBorder="1"/>
    <xf numFmtId="44" fontId="7" fillId="0" borderId="34" xfId="3" applyNumberFormat="1" applyFill="1" applyBorder="1"/>
    <xf numFmtId="44" fontId="7" fillId="0" borderId="35" xfId="3" applyNumberFormat="1" applyFill="1" applyBorder="1"/>
    <xf numFmtId="6" fontId="0" fillId="9" borderId="32" xfId="6" applyNumberFormat="1" applyFont="1" applyFill="1" applyBorder="1" applyProtection="1"/>
    <xf numFmtId="0" fontId="7" fillId="9" borderId="0" xfId="3" applyFill="1" applyBorder="1" applyProtection="1">
      <protection locked="0"/>
    </xf>
    <xf numFmtId="0" fontId="9" fillId="0" borderId="36" xfId="3" applyFont="1" applyBorder="1" applyAlignment="1" applyProtection="1">
      <alignment horizontal="right"/>
    </xf>
    <xf numFmtId="0" fontId="9" fillId="0" borderId="0" xfId="3" applyFont="1" applyBorder="1" applyAlignment="1" applyProtection="1">
      <alignment horizontal="right"/>
    </xf>
    <xf numFmtId="10" fontId="0" fillId="0" borderId="13" xfId="6" applyNumberFormat="1" applyFont="1" applyBorder="1" applyProtection="1"/>
    <xf numFmtId="44" fontId="0" fillId="9" borderId="13" xfId="6" applyNumberFormat="1" applyFont="1" applyFill="1" applyBorder="1" applyProtection="1">
      <protection locked="0"/>
    </xf>
    <xf numFmtId="6" fontId="0" fillId="9" borderId="32" xfId="6" applyNumberFormat="1" applyFont="1" applyFill="1" applyBorder="1" applyProtection="1">
      <protection locked="0"/>
    </xf>
    <xf numFmtId="44" fontId="0" fillId="9" borderId="32" xfId="6" applyNumberFormat="1" applyFont="1" applyFill="1" applyBorder="1" applyProtection="1">
      <protection locked="0"/>
    </xf>
    <xf numFmtId="0" fontId="7" fillId="0" borderId="0" xfId="3" applyFill="1" applyBorder="1" applyAlignment="1" applyProtection="1">
      <alignment horizontal="left"/>
    </xf>
    <xf numFmtId="0" fontId="7" fillId="0" borderId="0" xfId="3" applyBorder="1" applyAlignment="1" applyProtection="1">
      <alignment wrapText="1"/>
    </xf>
    <xf numFmtId="44" fontId="9" fillId="0" borderId="34" xfId="3" applyNumberFormat="1" applyFont="1" applyBorder="1"/>
    <xf numFmtId="44" fontId="9" fillId="0" borderId="33" xfId="6" applyNumberFormat="1" applyFont="1" applyBorder="1" applyProtection="1"/>
    <xf numFmtId="0" fontId="9" fillId="0" borderId="0" xfId="3" applyFont="1" applyBorder="1" applyAlignment="1" applyProtection="1">
      <alignment horizontal="left"/>
    </xf>
    <xf numFmtId="44" fontId="0" fillId="9" borderId="33" xfId="6" applyNumberFormat="1" applyFont="1" applyFill="1" applyBorder="1" applyProtection="1">
      <protection locked="0"/>
    </xf>
    <xf numFmtId="37" fontId="7" fillId="9" borderId="7" xfId="3" applyNumberFormat="1" applyFont="1" applyFill="1" applyBorder="1" applyProtection="1">
      <protection locked="0"/>
    </xf>
    <xf numFmtId="0" fontId="7" fillId="0" borderId="0" xfId="3" applyFill="1" applyBorder="1" applyProtection="1"/>
    <xf numFmtId="6" fontId="9" fillId="5" borderId="7" xfId="3" applyNumberFormat="1" applyFont="1" applyFill="1" applyBorder="1"/>
    <xf numFmtId="44" fontId="9" fillId="0" borderId="32" xfId="6" applyNumberFormat="1" applyFont="1" applyBorder="1" applyProtection="1"/>
    <xf numFmtId="44" fontId="7" fillId="0" borderId="13" xfId="6" applyNumberFormat="1" applyFont="1" applyBorder="1" applyProtection="1"/>
    <xf numFmtId="44" fontId="7" fillId="0" borderId="32" xfId="6" applyNumberFormat="1" applyFont="1" applyBorder="1" applyProtection="1"/>
    <xf numFmtId="44" fontId="0" fillId="9" borderId="7" xfId="6" applyNumberFormat="1" applyFont="1" applyFill="1" applyBorder="1" applyProtection="1">
      <protection locked="0"/>
    </xf>
    <xf numFmtId="0" fontId="7" fillId="0" borderId="0" xfId="3" applyFont="1" applyBorder="1" applyProtection="1"/>
    <xf numFmtId="0" fontId="9" fillId="0" borderId="36" xfId="3" applyFont="1" applyFill="1" applyBorder="1" applyAlignment="1" applyProtection="1">
      <alignment horizontal="right"/>
    </xf>
    <xf numFmtId="6" fontId="9" fillId="0" borderId="33" xfId="6" applyNumberFormat="1" applyFont="1" applyFill="1" applyBorder="1" applyProtection="1"/>
    <xf numFmtId="0" fontId="9" fillId="0" borderId="0" xfId="3" applyFont="1" applyFill="1" applyBorder="1" applyAlignment="1" applyProtection="1">
      <alignment horizontal="right"/>
    </xf>
    <xf numFmtId="6" fontId="0" fillId="9" borderId="32" xfId="6" applyNumberFormat="1" applyFont="1" applyFill="1" applyBorder="1"/>
    <xf numFmtId="0" fontId="7" fillId="9" borderId="37" xfId="3" applyFill="1" applyBorder="1" applyProtection="1">
      <protection locked="0"/>
    </xf>
    <xf numFmtId="6" fontId="7" fillId="9" borderId="13" xfId="3" applyNumberFormat="1" applyFill="1" applyBorder="1" applyProtection="1">
      <protection locked="0"/>
    </xf>
    <xf numFmtId="6" fontId="0" fillId="9" borderId="13" xfId="6" applyNumberFormat="1" applyFont="1" applyFill="1" applyBorder="1"/>
    <xf numFmtId="6" fontId="7" fillId="10" borderId="7" xfId="3" applyNumberFormat="1" applyFill="1" applyBorder="1"/>
    <xf numFmtId="6" fontId="7" fillId="9" borderId="7" xfId="3" applyNumberFormat="1" applyFill="1" applyBorder="1" applyProtection="1">
      <protection locked="0"/>
    </xf>
    <xf numFmtId="6" fontId="0" fillId="9" borderId="33" xfId="6" applyNumberFormat="1" applyFont="1" applyFill="1" applyBorder="1"/>
    <xf numFmtId="6" fontId="7" fillId="9" borderId="34" xfId="3" applyNumberFormat="1" applyFill="1" applyBorder="1"/>
    <xf numFmtId="6" fontId="7" fillId="9" borderId="35" xfId="3" applyNumberFormat="1" applyFill="1" applyBorder="1"/>
    <xf numFmtId="42" fontId="7" fillId="0" borderId="7" xfId="3" applyNumberFormat="1" applyFill="1" applyBorder="1" applyProtection="1"/>
    <xf numFmtId="0" fontId="9" fillId="9" borderId="0" xfId="3" applyFont="1" applyFill="1" applyBorder="1" applyProtection="1">
      <protection locked="0"/>
    </xf>
    <xf numFmtId="6" fontId="7" fillId="9" borderId="32" xfId="3" applyNumberFormat="1" applyFill="1" applyBorder="1" applyProtection="1">
      <protection locked="0"/>
    </xf>
    <xf numFmtId="44" fontId="0" fillId="0" borderId="18" xfId="6" applyNumberFormat="1" applyFont="1" applyBorder="1" applyProtection="1"/>
    <xf numFmtId="44" fontId="0" fillId="0" borderId="18" xfId="6" applyNumberFormat="1" applyFont="1" applyBorder="1"/>
    <xf numFmtId="44" fontId="0" fillId="0" borderId="38" xfId="6" applyNumberFormat="1" applyFont="1" applyBorder="1" applyProtection="1"/>
    <xf numFmtId="44" fontId="0" fillId="0" borderId="39" xfId="6" applyNumberFormat="1" applyFont="1" applyBorder="1"/>
    <xf numFmtId="0" fontId="14" fillId="0" borderId="21" xfId="3" applyFont="1" applyBorder="1" applyProtection="1"/>
    <xf numFmtId="44" fontId="15" fillId="0" borderId="40" xfId="6" applyNumberFormat="1" applyFont="1" applyFill="1" applyBorder="1" applyProtection="1"/>
    <xf numFmtId="44" fontId="15" fillId="0" borderId="20" xfId="6" applyNumberFormat="1" applyFont="1" applyFill="1" applyBorder="1" applyProtection="1"/>
    <xf numFmtId="44" fontId="15" fillId="0" borderId="19" xfId="6" applyNumberFormat="1" applyFont="1" applyFill="1" applyBorder="1" applyProtection="1"/>
    <xf numFmtId="6" fontId="15" fillId="0" borderId="0" xfId="6" applyNumberFormat="1" applyFont="1" applyFill="1" applyBorder="1" applyProtection="1"/>
    <xf numFmtId="44" fontId="15" fillId="0" borderId="34" xfId="3" applyNumberFormat="1" applyFont="1" applyFill="1" applyBorder="1"/>
    <xf numFmtId="44" fontId="15" fillId="0" borderId="35" xfId="3" applyNumberFormat="1" applyFont="1" applyFill="1" applyBorder="1"/>
    <xf numFmtId="0" fontId="14" fillId="0" borderId="0" xfId="3" applyFont="1" applyBorder="1" applyProtection="1"/>
    <xf numFmtId="44" fontId="15" fillId="0" borderId="7" xfId="6" applyNumberFormat="1" applyFont="1" applyFill="1" applyBorder="1" applyProtection="1"/>
    <xf numFmtId="44" fontId="15" fillId="0" borderId="17" xfId="6" applyNumberFormat="1" applyFont="1" applyFill="1" applyBorder="1" applyProtection="1"/>
    <xf numFmtId="44" fontId="15" fillId="0" borderId="12" xfId="6" applyNumberFormat="1" applyFont="1" applyFill="1" applyBorder="1" applyProtection="1"/>
    <xf numFmtId="44" fontId="16" fillId="0" borderId="7" xfId="6" applyNumberFormat="1" applyFont="1" applyFill="1" applyBorder="1" applyProtection="1"/>
    <xf numFmtId="44" fontId="16" fillId="0" borderId="17" xfId="6" applyNumberFormat="1" applyFont="1" applyFill="1" applyBorder="1" applyProtection="1"/>
    <xf numFmtId="44" fontId="16" fillId="0" borderId="12" xfId="6" applyNumberFormat="1" applyFont="1" applyFill="1" applyBorder="1" applyProtection="1"/>
    <xf numFmtId="0" fontId="14" fillId="0" borderId="26" xfId="3" applyFont="1" applyBorder="1" applyProtection="1"/>
    <xf numFmtId="44" fontId="15" fillId="0" borderId="41" xfId="6" applyNumberFormat="1" applyFont="1" applyFill="1" applyBorder="1" applyProtection="1"/>
    <xf numFmtId="44" fontId="15" fillId="0" borderId="25" xfId="6" applyNumberFormat="1" applyFont="1" applyFill="1" applyBorder="1" applyProtection="1"/>
    <xf numFmtId="44" fontId="15" fillId="0" borderId="24" xfId="6" applyNumberFormat="1" applyFont="1" applyFill="1" applyBorder="1" applyProtection="1"/>
    <xf numFmtId="0" fontId="14" fillId="0" borderId="4" xfId="3" applyFont="1" applyFill="1" applyBorder="1" applyProtection="1"/>
    <xf numFmtId="44" fontId="16" fillId="0" borderId="3" xfId="3" applyNumberFormat="1" applyFont="1" applyBorder="1"/>
    <xf numFmtId="44" fontId="16" fillId="0" borderId="1" xfId="3" applyNumberFormat="1" applyFont="1" applyFill="1" applyBorder="1"/>
    <xf numFmtId="44" fontId="16" fillId="0" borderId="2" xfId="3" applyNumberFormat="1" applyFont="1" applyFill="1" applyBorder="1"/>
    <xf numFmtId="44" fontId="16" fillId="0" borderId="3" xfId="3" applyNumberFormat="1" applyFont="1" applyFill="1" applyBorder="1"/>
    <xf numFmtId="44" fontId="16" fillId="0" borderId="4" xfId="3" applyNumberFormat="1" applyFont="1" applyFill="1" applyBorder="1"/>
    <xf numFmtId="44" fontId="16" fillId="0" borderId="10" xfId="3" applyNumberFormat="1" applyFont="1" applyBorder="1"/>
    <xf numFmtId="44" fontId="16" fillId="0" borderId="42" xfId="3" applyNumberFormat="1" applyFont="1" applyBorder="1"/>
    <xf numFmtId="0" fontId="14" fillId="0" borderId="0" xfId="3" applyFont="1" applyFill="1" applyBorder="1" applyProtection="1"/>
    <xf numFmtId="44" fontId="7" fillId="0" borderId="0" xfId="3" applyNumberFormat="1" applyAlignment="1">
      <alignment vertical="center"/>
    </xf>
    <xf numFmtId="44" fontId="7" fillId="0" borderId="0" xfId="3" applyNumberFormat="1"/>
    <xf numFmtId="166" fontId="7" fillId="13" borderId="0" xfId="3" applyNumberFormat="1" applyFill="1"/>
    <xf numFmtId="166" fontId="7" fillId="0" borderId="0" xfId="3" applyNumberFormat="1"/>
    <xf numFmtId="6" fontId="17" fillId="0" borderId="1" xfId="3" applyNumberFormat="1" applyFont="1" applyFill="1" applyBorder="1" applyAlignment="1">
      <alignment horizontal="center" vertical="center" wrapText="1"/>
    </xf>
    <xf numFmtId="44" fontId="7" fillId="13" borderId="0" xfId="3" applyNumberFormat="1" applyFill="1"/>
    <xf numFmtId="168" fontId="18" fillId="13" borderId="13" xfId="3" applyNumberFormat="1" applyFont="1" applyFill="1" applyBorder="1" applyAlignment="1">
      <alignment horizontal="left" vertical="center"/>
    </xf>
    <xf numFmtId="6" fontId="17" fillId="14" borderId="43" xfId="3" applyNumberFormat="1" applyFont="1" applyFill="1" applyBorder="1" applyAlignment="1">
      <alignment horizontal="center" vertical="center" wrapText="1"/>
    </xf>
    <xf numFmtId="42" fontId="18" fillId="5" borderId="13" xfId="6" applyNumberFormat="1" applyFont="1" applyFill="1" applyBorder="1" applyAlignment="1">
      <alignment horizontal="center" vertical="center" wrapText="1"/>
    </xf>
    <xf numFmtId="9" fontId="0" fillId="0" borderId="0" xfId="7" applyFont="1"/>
    <xf numFmtId="10" fontId="7" fillId="0" borderId="0" xfId="3" applyNumberFormat="1"/>
    <xf numFmtId="6" fontId="7" fillId="0" borderId="0" xfId="3" applyNumberFormat="1"/>
    <xf numFmtId="44" fontId="7" fillId="0" borderId="5" xfId="3" applyNumberFormat="1" applyBorder="1"/>
    <xf numFmtId="43" fontId="0" fillId="0" borderId="0" xfId="1" applyNumberFormat="1" applyFont="1" applyFill="1" applyBorder="1" applyAlignment="1">
      <alignment horizontal="center" vertical="center"/>
    </xf>
    <xf numFmtId="6" fontId="0" fillId="7" borderId="0" xfId="0" applyNumberFormat="1" applyFont="1" applyFill="1" applyAlignment="1">
      <alignment horizontal="center"/>
    </xf>
    <xf numFmtId="6" fontId="0" fillId="7" borderId="0" xfId="0" applyNumberFormat="1" applyFont="1" applyFill="1" applyBorder="1" applyAlignment="1">
      <alignment horizontal="center"/>
    </xf>
    <xf numFmtId="0" fontId="0" fillId="0" borderId="0" xfId="0" applyBorder="1"/>
    <xf numFmtId="38" fontId="0" fillId="0" borderId="0" xfId="0" applyNumberFormat="1" applyBorder="1"/>
    <xf numFmtId="167" fontId="0" fillId="7" borderId="1" xfId="0" applyNumberFormat="1" applyFont="1" applyFill="1" applyBorder="1" applyAlignment="1">
      <alignment horizontal="center" vertical="center"/>
    </xf>
    <xf numFmtId="38" fontId="2" fillId="0" borderId="0" xfId="0" applyNumberFormat="1" applyFont="1" applyBorder="1"/>
    <xf numFmtId="6" fontId="0" fillId="0" borderId="0" xfId="0" applyNumberFormat="1"/>
    <xf numFmtId="43" fontId="0" fillId="7" borderId="1" xfId="0" applyNumberFormat="1" applyFont="1" applyFill="1" applyBorder="1" applyAlignment="1">
      <alignment horizontal="center" vertical="center"/>
    </xf>
    <xf numFmtId="167" fontId="0" fillId="7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6" fontId="0" fillId="0" borderId="0" xfId="0" applyNumberFormat="1" applyFont="1" applyBorder="1"/>
    <xf numFmtId="6" fontId="2" fillId="0" borderId="0" xfId="0" applyNumberFormat="1" applyFont="1" applyBorder="1"/>
    <xf numFmtId="9" fontId="0" fillId="0" borderId="0" xfId="2" applyFont="1"/>
    <xf numFmtId="9" fontId="0" fillId="0" borderId="0" xfId="0" applyNumberFormat="1"/>
    <xf numFmtId="0" fontId="2" fillId="0" borderId="0" xfId="0" applyFont="1" applyAlignment="1">
      <alignment horizontal="center"/>
    </xf>
    <xf numFmtId="6" fontId="0" fillId="16" borderId="0" xfId="0" applyNumberFormat="1" applyFont="1" applyFill="1" applyAlignment="1">
      <alignment horizontal="center"/>
    </xf>
    <xf numFmtId="9" fontId="0" fillId="16" borderId="0" xfId="2" applyFont="1" applyFill="1" applyBorder="1" applyAlignment="1">
      <alignment horizontal="center"/>
    </xf>
    <xf numFmtId="6" fontId="0" fillId="16" borderId="0" xfId="0" applyNumberFormat="1" applyFont="1" applyFill="1" applyBorder="1" applyAlignment="1">
      <alignment horizontal="center"/>
    </xf>
    <xf numFmtId="6" fontId="2" fillId="16" borderId="0" xfId="0" applyNumberFormat="1" applyFont="1" applyFill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6" fontId="4" fillId="0" borderId="1" xfId="0" applyNumberFormat="1" applyFont="1" applyFill="1" applyBorder="1" applyAlignment="1">
      <alignment horizontal="center" wrapText="1"/>
    </xf>
    <xf numFmtId="6" fontId="4" fillId="16" borderId="1" xfId="0" applyNumberFormat="1" applyFont="1" applyFill="1" applyBorder="1" applyAlignment="1">
      <alignment horizontal="center" wrapText="1"/>
    </xf>
    <xf numFmtId="6" fontId="4" fillId="7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vertical="center" wrapText="1"/>
    </xf>
    <xf numFmtId="6" fontId="0" fillId="0" borderId="1" xfId="0" applyNumberFormat="1" applyFont="1" applyFill="1" applyBorder="1" applyAlignment="1">
      <alignment horizontal="center" vertical="center"/>
    </xf>
    <xf numFmtId="6" fontId="0" fillId="16" borderId="1" xfId="0" applyNumberFormat="1" applyFont="1" applyFill="1" applyBorder="1" applyAlignment="1">
      <alignment horizontal="center" vertical="center"/>
    </xf>
    <xf numFmtId="0" fontId="0" fillId="16" borderId="1" xfId="0" applyNumberFormat="1" applyFont="1" applyFill="1" applyBorder="1" applyAlignment="1">
      <alignment horizontal="center" vertical="center"/>
    </xf>
    <xf numFmtId="6" fontId="0" fillId="2" borderId="1" xfId="0" applyNumberFormat="1" applyFont="1" applyFill="1" applyBorder="1" applyAlignment="1">
      <alignment horizontal="center" vertical="center"/>
    </xf>
    <xf numFmtId="6" fontId="5" fillId="2" borderId="1" xfId="0" applyNumberFormat="1" applyFont="1" applyFill="1" applyBorder="1" applyAlignment="1">
      <alignment vertical="center" wrapText="1"/>
    </xf>
    <xf numFmtId="6" fontId="0" fillId="5" borderId="1" xfId="0" applyNumberFormat="1" applyFont="1" applyFill="1" applyBorder="1" applyAlignment="1">
      <alignment horizontal="center" vertical="center"/>
    </xf>
    <xf numFmtId="1" fontId="5" fillId="15" borderId="1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6" fontId="2" fillId="0" borderId="0" xfId="0" applyNumberFormat="1" applyFont="1" applyFill="1" applyAlignment="1">
      <alignment horizontal="left"/>
    </xf>
    <xf numFmtId="9" fontId="0" fillId="0" borderId="0" xfId="2" applyFont="1" applyFill="1" applyBorder="1" applyAlignment="1">
      <alignment horizontal="center"/>
    </xf>
    <xf numFmtId="0" fontId="0" fillId="0" borderId="0" xfId="0" applyAlignment="1">
      <alignment horizontal="left"/>
    </xf>
    <xf numFmtId="8" fontId="0" fillId="0" borderId="0" xfId="0" applyNumberFormat="1"/>
    <xf numFmtId="169" fontId="0" fillId="2" borderId="1" xfId="0" applyNumberFormat="1" applyFont="1" applyFill="1" applyBorder="1" applyAlignment="1">
      <alignment horizontal="center" vertical="center"/>
    </xf>
    <xf numFmtId="169" fontId="0" fillId="7" borderId="1" xfId="0" applyNumberFormat="1" applyFont="1" applyFill="1" applyBorder="1" applyAlignment="1">
      <alignment horizontal="center" vertical="center"/>
    </xf>
    <xf numFmtId="6" fontId="2" fillId="7" borderId="0" xfId="0" applyNumberFormat="1" applyFont="1" applyFill="1" applyAlignment="1">
      <alignment horizontal="left"/>
    </xf>
    <xf numFmtId="167" fontId="0" fillId="7" borderId="0" xfId="2" applyNumberFormat="1" applyFont="1" applyFill="1" applyAlignment="1">
      <alignment horizontal="center"/>
    </xf>
    <xf numFmtId="6" fontId="0" fillId="7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167" fontId="0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1" fontId="2" fillId="0" borderId="0" xfId="0" applyNumberFormat="1" applyFont="1" applyBorder="1" applyAlignment="1">
      <alignment horizontal="left"/>
    </xf>
    <xf numFmtId="1" fontId="0" fillId="0" borderId="0" xfId="0" applyNumberFormat="1" applyFont="1" applyBorder="1" applyAlignment="1">
      <alignment horizontal="left" indent="1"/>
    </xf>
    <xf numFmtId="1" fontId="2" fillId="0" borderId="0" xfId="0" applyNumberFormat="1" applyFont="1" applyBorder="1" applyAlignment="1">
      <alignment horizontal="left" indent="1"/>
    </xf>
    <xf numFmtId="1" fontId="2" fillId="0" borderId="14" xfId="0" applyNumberFormat="1" applyFont="1" applyBorder="1" applyAlignment="1">
      <alignment horizontal="left" indent="1"/>
    </xf>
    <xf numFmtId="6" fontId="2" fillId="0" borderId="14" xfId="0" applyNumberFormat="1" applyFont="1" applyBorder="1"/>
    <xf numFmtId="1" fontId="0" fillId="0" borderId="14" xfId="0" applyNumberFormat="1" applyFont="1" applyBorder="1" applyAlignment="1">
      <alignment horizontal="left" indent="1"/>
    </xf>
    <xf numFmtId="6" fontId="0" fillId="0" borderId="14" xfId="0" applyNumberFormat="1" applyFont="1" applyBorder="1"/>
    <xf numFmtId="9" fontId="2" fillId="0" borderId="0" xfId="2" applyFont="1" applyBorder="1"/>
    <xf numFmtId="0" fontId="2" fillId="0" borderId="21" xfId="0" applyFont="1" applyBorder="1"/>
    <xf numFmtId="38" fontId="0" fillId="4" borderId="0" xfId="0" applyNumberFormat="1" applyFont="1" applyFill="1" applyAlignment="1">
      <alignment horizontal="center"/>
    </xf>
    <xf numFmtId="38" fontId="4" fillId="4" borderId="1" xfId="0" applyNumberFormat="1" applyFont="1" applyFill="1" applyBorder="1" applyAlignment="1">
      <alignment horizontal="center" wrapText="1"/>
    </xf>
    <xf numFmtId="38" fontId="0" fillId="4" borderId="0" xfId="0" applyNumberFormat="1" applyFont="1" applyFill="1" applyBorder="1" applyAlignment="1">
      <alignment horizontal="center"/>
    </xf>
    <xf numFmtId="38" fontId="2" fillId="4" borderId="0" xfId="0" applyNumberFormat="1" applyFont="1" applyFill="1" applyAlignment="1">
      <alignment horizontal="left"/>
    </xf>
    <xf numFmtId="6" fontId="0" fillId="4" borderId="0" xfId="0" applyNumberFormat="1" applyFont="1" applyFill="1" applyAlignment="1">
      <alignment horizontal="center"/>
    </xf>
    <xf numFmtId="6" fontId="0" fillId="4" borderId="0" xfId="0" applyNumberFormat="1" applyFont="1" applyFill="1" applyBorder="1" applyAlignment="1">
      <alignment horizontal="center"/>
    </xf>
    <xf numFmtId="6" fontId="4" fillId="4" borderId="1" xfId="0" applyNumberFormat="1" applyFont="1" applyFill="1" applyBorder="1" applyAlignment="1">
      <alignment horizontal="center" wrapText="1"/>
    </xf>
    <xf numFmtId="43" fontId="0" fillId="4" borderId="1" xfId="0" applyNumberFormat="1" applyFont="1" applyFill="1" applyBorder="1" applyAlignment="1">
      <alignment horizontal="center" vertical="center"/>
    </xf>
    <xf numFmtId="6" fontId="0" fillId="4" borderId="1" xfId="0" applyNumberFormat="1" applyFont="1" applyFill="1" applyBorder="1" applyAlignment="1">
      <alignment horizontal="left" vertical="center" wrapText="1"/>
    </xf>
    <xf numFmtId="9" fontId="0" fillId="4" borderId="1" xfId="2" applyFont="1" applyFill="1" applyBorder="1" applyAlignment="1">
      <alignment horizontal="center" vertical="center"/>
    </xf>
    <xf numFmtId="169" fontId="0" fillId="4" borderId="1" xfId="0" applyNumberFormat="1" applyFont="1" applyFill="1" applyBorder="1" applyAlignment="1">
      <alignment horizontal="center" vertical="center"/>
    </xf>
    <xf numFmtId="38" fontId="0" fillId="4" borderId="1" xfId="0" applyNumberFormat="1" applyFont="1" applyFill="1" applyBorder="1" applyAlignment="1">
      <alignment horizontal="center" vertical="center"/>
    </xf>
    <xf numFmtId="6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16" borderId="0" xfId="0" applyNumberFormat="1" applyFont="1" applyFill="1" applyAlignment="1">
      <alignment horizontal="left"/>
    </xf>
    <xf numFmtId="0" fontId="0" fillId="16" borderId="0" xfId="2" applyNumberFormat="1" applyFont="1" applyFill="1" applyBorder="1" applyAlignment="1">
      <alignment horizontal="center"/>
    </xf>
    <xf numFmtId="0" fontId="4" fillId="16" borderId="1" xfId="0" applyNumberFormat="1" applyFont="1" applyFill="1" applyBorder="1" applyAlignment="1">
      <alignment horizontal="center" wrapText="1"/>
    </xf>
    <xf numFmtId="1" fontId="0" fillId="16" borderId="0" xfId="0" applyNumberFormat="1" applyFont="1" applyFill="1" applyAlignment="1">
      <alignment horizontal="center"/>
    </xf>
    <xf numFmtId="1" fontId="4" fillId="16" borderId="1" xfId="0" applyNumberFormat="1" applyFont="1" applyFill="1" applyBorder="1" applyAlignment="1">
      <alignment horizontal="center" wrapText="1"/>
    </xf>
    <xf numFmtId="1" fontId="0" fillId="16" borderId="1" xfId="0" applyNumberFormat="1" applyFont="1" applyFill="1" applyBorder="1" applyAlignment="1">
      <alignment horizontal="center" vertical="center"/>
    </xf>
    <xf numFmtId="1" fontId="0" fillId="16" borderId="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vertical="center"/>
    </xf>
    <xf numFmtId="6" fontId="0" fillId="16" borderId="1" xfId="0" applyNumberFormat="1" applyFont="1" applyFill="1" applyBorder="1" applyAlignment="1">
      <alignment horizontal="left" vertical="center"/>
    </xf>
    <xf numFmtId="6" fontId="0" fillId="7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164" fontId="0" fillId="0" borderId="0" xfId="1" applyNumberFormat="1" applyFont="1" applyFill="1" applyBorder="1" applyAlignment="1">
      <alignment horizontal="left" wrapText="1"/>
    </xf>
    <xf numFmtId="1" fontId="3" fillId="0" borderId="4" xfId="0" applyNumberFormat="1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vertical="center"/>
    </xf>
    <xf numFmtId="164" fontId="3" fillId="0" borderId="21" xfId="1" applyNumberFormat="1" applyFont="1" applyFill="1" applyBorder="1" applyAlignment="1">
      <alignment vertical="center" wrapText="1"/>
    </xf>
    <xf numFmtId="164" fontId="3" fillId="0" borderId="21" xfId="1" applyNumberFormat="1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>
      <alignment vertical="center" wrapText="1"/>
    </xf>
    <xf numFmtId="1" fontId="3" fillId="0" borderId="21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vertical="center" wrapText="1"/>
    </xf>
    <xf numFmtId="6" fontId="2" fillId="0" borderId="21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43" fontId="2" fillId="0" borderId="21" xfId="0" applyNumberFormat="1" applyFont="1" applyFill="1" applyBorder="1" applyAlignment="1">
      <alignment horizontal="center" vertical="center"/>
    </xf>
    <xf numFmtId="6" fontId="2" fillId="0" borderId="21" xfId="0" applyNumberFormat="1" applyFont="1" applyFill="1" applyBorder="1" applyAlignment="1">
      <alignment horizontal="left" vertical="center"/>
    </xf>
    <xf numFmtId="9" fontId="2" fillId="0" borderId="21" xfId="2" applyFont="1" applyFill="1" applyBorder="1" applyAlignment="1">
      <alignment horizontal="center" vertical="center"/>
    </xf>
    <xf numFmtId="169" fontId="2" fillId="0" borderId="21" xfId="0" applyNumberFormat="1" applyFont="1" applyFill="1" applyBorder="1" applyAlignment="1">
      <alignment horizontal="center" vertical="center"/>
    </xf>
    <xf numFmtId="38" fontId="2" fillId="0" borderId="21" xfId="0" applyNumberFormat="1" applyFont="1" applyFill="1" applyBorder="1" applyAlignment="1">
      <alignment horizontal="center" vertical="center"/>
    </xf>
    <xf numFmtId="167" fontId="2" fillId="0" borderId="2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/>
    </xf>
    <xf numFmtId="6" fontId="2" fillId="0" borderId="1" xfId="0" applyNumberFormat="1" applyFont="1" applyBorder="1" applyAlignment="1">
      <alignment horizontal="center"/>
    </xf>
    <xf numFmtId="6" fontId="2" fillId="0" borderId="1" xfId="0" applyNumberFormat="1" applyFont="1" applyFill="1" applyBorder="1" applyAlignment="1">
      <alignment horizontal="left"/>
    </xf>
    <xf numFmtId="6" fontId="2" fillId="0" borderId="1" xfId="0" applyNumberFormat="1" applyFont="1" applyFill="1" applyBorder="1" applyAlignment="1">
      <alignment horizontal="center"/>
    </xf>
    <xf numFmtId="6" fontId="2" fillId="4" borderId="1" xfId="0" applyNumberFormat="1" applyFont="1" applyFill="1" applyBorder="1" applyAlignment="1">
      <alignment horizontal="center"/>
    </xf>
    <xf numFmtId="38" fontId="2" fillId="4" borderId="1" xfId="0" applyNumberFormat="1" applyFont="1" applyFill="1" applyBorder="1" applyAlignment="1">
      <alignment horizontal="center"/>
    </xf>
    <xf numFmtId="6" fontId="2" fillId="7" borderId="1" xfId="0" applyNumberFormat="1" applyFont="1" applyFill="1" applyBorder="1" applyAlignment="1">
      <alignment horizontal="center"/>
    </xf>
    <xf numFmtId="38" fontId="2" fillId="7" borderId="1" xfId="0" applyNumberFormat="1" applyFont="1" applyFill="1" applyBorder="1" applyAlignment="1">
      <alignment horizontal="center"/>
    </xf>
    <xf numFmtId="38" fontId="2" fillId="7" borderId="2" xfId="0" applyNumberFormat="1" applyFont="1" applyFill="1" applyBorder="1" applyAlignment="1">
      <alignment horizontal="left"/>
    </xf>
    <xf numFmtId="38" fontId="2" fillId="7" borderId="4" xfId="0" applyNumberFormat="1" applyFont="1" applyFill="1" applyBorder="1" applyAlignment="1">
      <alignment horizontal="center"/>
    </xf>
    <xf numFmtId="38" fontId="0" fillId="7" borderId="4" xfId="0" applyNumberFormat="1" applyFont="1" applyFill="1" applyBorder="1" applyAlignment="1">
      <alignment horizontal="center"/>
    </xf>
    <xf numFmtId="38" fontId="2" fillId="4" borderId="2" xfId="0" applyNumberFormat="1" applyFont="1" applyFill="1" applyBorder="1" applyAlignment="1">
      <alignment horizontal="left"/>
    </xf>
    <xf numFmtId="38" fontId="2" fillId="4" borderId="4" xfId="0" applyNumberFormat="1" applyFont="1" applyFill="1" applyBorder="1" applyAlignment="1">
      <alignment horizontal="center"/>
    </xf>
    <xf numFmtId="6" fontId="2" fillId="16" borderId="2" xfId="0" applyNumberFormat="1" applyFont="1" applyFill="1" applyBorder="1" applyAlignment="1">
      <alignment horizontal="left"/>
    </xf>
    <xf numFmtId="6" fontId="2" fillId="16" borderId="4" xfId="0" applyNumberFormat="1" applyFont="1" applyFill="1" applyBorder="1" applyAlignment="1">
      <alignment horizontal="left"/>
    </xf>
    <xf numFmtId="0" fontId="2" fillId="16" borderId="4" xfId="0" applyNumberFormat="1" applyFont="1" applyFill="1" applyBorder="1" applyAlignment="1">
      <alignment horizontal="left"/>
    </xf>
    <xf numFmtId="6" fontId="2" fillId="16" borderId="4" xfId="0" applyNumberFormat="1" applyFont="1" applyFill="1" applyBorder="1" applyAlignment="1">
      <alignment horizontal="center"/>
    </xf>
    <xf numFmtId="1" fontId="2" fillId="16" borderId="4" xfId="0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left"/>
    </xf>
    <xf numFmtId="164" fontId="2" fillId="0" borderId="26" xfId="1" applyNumberFormat="1" applyFont="1" applyFill="1" applyBorder="1" applyAlignment="1">
      <alignment horizontal="left" wrapText="1"/>
    </xf>
    <xf numFmtId="164" fontId="2" fillId="0" borderId="26" xfId="1" applyNumberFormat="1" applyFont="1" applyFill="1" applyBorder="1" applyAlignment="1">
      <alignment horizontal="left"/>
    </xf>
    <xf numFmtId="0" fontId="2" fillId="0" borderId="26" xfId="0" applyFont="1" applyBorder="1"/>
    <xf numFmtId="164" fontId="2" fillId="0" borderId="26" xfId="1" applyNumberFormat="1" applyFont="1" applyFill="1" applyBorder="1" applyAlignment="1">
      <alignment horizontal="center" vertical="center"/>
    </xf>
    <xf numFmtId="38" fontId="0" fillId="0" borderId="0" xfId="0" applyNumberFormat="1"/>
    <xf numFmtId="6" fontId="0" fillId="16" borderId="1" xfId="0" applyNumberFormat="1" applyFont="1" applyFill="1" applyBorder="1" applyAlignment="1">
      <alignment vertical="center"/>
    </xf>
    <xf numFmtId="38" fontId="0" fillId="7" borderId="0" xfId="0" applyNumberFormat="1" applyFont="1" applyFill="1" applyAlignment="1">
      <alignment horizontal="right"/>
    </xf>
    <xf numFmtId="167" fontId="0" fillId="7" borderId="0" xfId="0" applyNumberFormat="1" applyFont="1" applyFill="1" applyBorder="1" applyAlignment="1">
      <alignment horizontal="right"/>
    </xf>
    <xf numFmtId="0" fontId="29" fillId="0" borderId="2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1" fontId="23" fillId="0" borderId="0" xfId="0" applyNumberFormat="1" applyFont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/>
    </xf>
    <xf numFmtId="1" fontId="23" fillId="0" borderId="14" xfId="0" applyNumberFormat="1" applyFont="1" applyBorder="1" applyAlignment="1">
      <alignment horizontal="center"/>
    </xf>
    <xf numFmtId="6" fontId="0" fillId="16" borderId="0" xfId="2" applyNumberFormat="1" applyFont="1" applyFill="1" applyBorder="1" applyAlignment="1">
      <alignment horizontal="center"/>
    </xf>
    <xf numFmtId="6" fontId="2" fillId="4" borderId="4" xfId="0" applyNumberFormat="1" applyFont="1" applyFill="1" applyBorder="1"/>
    <xf numFmtId="6" fontId="2" fillId="4" borderId="4" xfId="0" applyNumberFormat="1" applyFont="1" applyFill="1" applyBorder="1" applyAlignment="1">
      <alignment horizontal="center"/>
    </xf>
    <xf numFmtId="6" fontId="0" fillId="4" borderId="4" xfId="0" applyNumberFormat="1" applyFont="1" applyFill="1" applyBorder="1" applyAlignment="1">
      <alignment horizontal="center"/>
    </xf>
    <xf numFmtId="6" fontId="0" fillId="4" borderId="0" xfId="0" applyNumberFormat="1" applyFont="1" applyFill="1" applyBorder="1"/>
    <xf numFmtId="0" fontId="0" fillId="0" borderId="0" xfId="0" applyFont="1" applyBorder="1" applyAlignment="1">
      <alignment horizontal="left"/>
    </xf>
    <xf numFmtId="38" fontId="2" fillId="4" borderId="3" xfId="0" applyNumberFormat="1" applyFont="1" applyFill="1" applyBorder="1" applyAlignment="1">
      <alignment horizontal="left"/>
    </xf>
    <xf numFmtId="6" fontId="0" fillId="16" borderId="4" xfId="0" applyNumberFormat="1" applyFont="1" applyFill="1" applyBorder="1" applyAlignment="1">
      <alignment horizontal="center"/>
    </xf>
    <xf numFmtId="6" fontId="0" fillId="16" borderId="4" xfId="2" applyNumberFormat="1" applyFont="1" applyFill="1" applyBorder="1" applyAlignment="1">
      <alignment horizontal="center"/>
    </xf>
    <xf numFmtId="38" fontId="2" fillId="7" borderId="3" xfId="0" applyNumberFormat="1" applyFont="1" applyFill="1" applyBorder="1" applyAlignment="1">
      <alignment horizontal="left"/>
    </xf>
    <xf numFmtId="38" fontId="2" fillId="7" borderId="2" xfId="0" applyNumberFormat="1" applyFont="1" applyFill="1" applyBorder="1" applyAlignment="1">
      <alignment horizontal="center"/>
    </xf>
    <xf numFmtId="9" fontId="0" fillId="7" borderId="4" xfId="2" applyFont="1" applyFill="1" applyBorder="1" applyAlignment="1">
      <alignment horizontal="center"/>
    </xf>
    <xf numFmtId="38" fontId="2" fillId="0" borderId="12" xfId="0" applyNumberFormat="1" applyFont="1" applyFill="1" applyBorder="1" applyAlignment="1">
      <alignment horizontal="center"/>
    </xf>
    <xf numFmtId="38" fontId="4" fillId="0" borderId="17" xfId="0" applyNumberFormat="1" applyFont="1" applyFill="1" applyBorder="1" applyAlignment="1">
      <alignment horizontal="center" wrapText="1"/>
    </xf>
    <xf numFmtId="169" fontId="0" fillId="0" borderId="17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 applyAlignment="1">
      <alignment horizontal="center" vertical="center"/>
    </xf>
    <xf numFmtId="38" fontId="0" fillId="0" borderId="17" xfId="0" applyNumberFormat="1" applyFont="1" applyFill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center" vertical="center"/>
    </xf>
    <xf numFmtId="174" fontId="0" fillId="16" borderId="1" xfId="0" applyNumberFormat="1" applyFont="1" applyFill="1" applyBorder="1" applyAlignment="1">
      <alignment horizontal="center" vertical="center"/>
    </xf>
    <xf numFmtId="174" fontId="2" fillId="0" borderId="21" xfId="0" applyNumberFormat="1" applyFont="1" applyFill="1" applyBorder="1" applyAlignment="1">
      <alignment horizontal="center" vertical="center"/>
    </xf>
    <xf numFmtId="6" fontId="2" fillId="0" borderId="0" xfId="0" applyNumberFormat="1" applyFont="1" applyFill="1"/>
    <xf numFmtId="0" fontId="29" fillId="0" borderId="26" xfId="0" applyFont="1" applyBorder="1" applyAlignment="1">
      <alignment horizontal="center"/>
    </xf>
    <xf numFmtId="6" fontId="0" fillId="17" borderId="0" xfId="0" applyNumberFormat="1" applyFont="1" applyFill="1" applyBorder="1"/>
    <xf numFmtId="9" fontId="0" fillId="17" borderId="0" xfId="0" applyNumberFormat="1" applyFont="1" applyFill="1" applyBorder="1" applyAlignment="1">
      <alignment horizontal="center"/>
    </xf>
    <xf numFmtId="0" fontId="0" fillId="17" borderId="0" xfId="0" applyFill="1" applyBorder="1"/>
    <xf numFmtId="6" fontId="0" fillId="17" borderId="0" xfId="0" applyNumberFormat="1" applyFill="1" applyBorder="1"/>
    <xf numFmtId="38" fontId="2" fillId="17" borderId="0" xfId="0" applyNumberFormat="1" applyFont="1" applyFill="1" applyBorder="1"/>
    <xf numFmtId="38" fontId="0" fillId="17" borderId="0" xfId="0" applyNumberFormat="1" applyFill="1" applyBorder="1"/>
    <xf numFmtId="9" fontId="23" fillId="17" borderId="44" xfId="0" applyNumberFormat="1" applyFont="1" applyFill="1" applyBorder="1" applyAlignment="1">
      <alignment horizontal="center"/>
    </xf>
    <xf numFmtId="0" fontId="0" fillId="17" borderId="0" xfId="0" applyFill="1"/>
    <xf numFmtId="6" fontId="2" fillId="17" borderId="0" xfId="0" applyNumberFormat="1" applyFont="1" applyFill="1" applyBorder="1"/>
    <xf numFmtId="9" fontId="2" fillId="17" borderId="0" xfId="2" applyFont="1" applyFill="1" applyBorder="1"/>
    <xf numFmtId="6" fontId="0" fillId="17" borderId="0" xfId="0" applyNumberFormat="1" applyFont="1" applyFill="1" applyBorder="1" applyAlignment="1">
      <alignment horizontal="right"/>
    </xf>
    <xf numFmtId="6" fontId="2" fillId="17" borderId="14" xfId="0" applyNumberFormat="1" applyFont="1" applyFill="1" applyBorder="1"/>
    <xf numFmtId="6" fontId="0" fillId="17" borderId="14" xfId="0" applyNumberFormat="1" applyFont="1" applyFill="1" applyBorder="1"/>
    <xf numFmtId="6" fontId="0" fillId="17" borderId="14" xfId="0" applyNumberFormat="1" applyFill="1" applyBorder="1"/>
    <xf numFmtId="9" fontId="2" fillId="0" borderId="0" xfId="2" applyFont="1" applyFill="1" applyBorder="1"/>
    <xf numFmtId="38" fontId="2" fillId="0" borderId="0" xfId="0" applyNumberFormat="1" applyFont="1" applyFill="1" applyBorder="1"/>
    <xf numFmtId="43" fontId="0" fillId="0" borderId="0" xfId="1" applyNumberFormat="1" applyFont="1" applyFill="1" applyBorder="1" applyAlignment="1">
      <alignment horizontal="left"/>
    </xf>
    <xf numFmtId="3" fontId="0" fillId="0" borderId="0" xfId="0" applyNumberFormat="1"/>
    <xf numFmtId="6" fontId="0" fillId="0" borderId="1" xfId="0" applyNumberFormat="1" applyFont="1" applyBorder="1" applyAlignment="1">
      <alignment horizontal="left" vertical="center"/>
    </xf>
    <xf numFmtId="1" fontId="0" fillId="16" borderId="4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left" indent="1"/>
    </xf>
    <xf numFmtId="0" fontId="2" fillId="6" borderId="0" xfId="0" applyFont="1" applyFill="1" applyBorder="1"/>
    <xf numFmtId="0" fontId="0" fillId="6" borderId="0" xfId="0" applyFill="1"/>
    <xf numFmtId="0" fontId="0" fillId="6" borderId="0" xfId="0" applyFill="1" applyBorder="1" applyAlignment="1">
      <alignment horizontal="center" vertical="top" wrapText="1"/>
    </xf>
    <xf numFmtId="6" fontId="0" fillId="6" borderId="0" xfId="0" applyNumberFormat="1" applyFill="1"/>
    <xf numFmtId="8" fontId="0" fillId="6" borderId="0" xfId="0" applyNumberFormat="1" applyFill="1"/>
    <xf numFmtId="0" fontId="2" fillId="6" borderId="0" xfId="0" applyFont="1" applyFill="1"/>
    <xf numFmtId="0" fontId="0" fillId="6" borderId="0" xfId="0" applyFill="1" applyAlignment="1">
      <alignment horizontal="right"/>
    </xf>
    <xf numFmtId="0" fontId="0" fillId="6" borderId="0" xfId="0" applyFont="1" applyFill="1" applyBorder="1"/>
    <xf numFmtId="0" fontId="0" fillId="6" borderId="0" xfId="0" applyFont="1" applyFill="1"/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/>
    <xf numFmtId="0" fontId="0" fillId="6" borderId="3" xfId="0" applyFill="1" applyBorder="1"/>
    <xf numFmtId="0" fontId="4" fillId="6" borderId="0" xfId="0" applyFont="1" applyFill="1" applyBorder="1" applyAlignment="1">
      <alignment horizontal="center" wrapText="1"/>
    </xf>
    <xf numFmtId="0" fontId="0" fillId="6" borderId="4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9" fontId="1" fillId="6" borderId="4" xfId="2" applyFont="1" applyFill="1" applyBorder="1"/>
    <xf numFmtId="9" fontId="1" fillId="6" borderId="3" xfId="2" applyFont="1" applyFill="1" applyBorder="1"/>
    <xf numFmtId="1" fontId="4" fillId="6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ill="1"/>
    <xf numFmtId="0" fontId="0" fillId="4" borderId="0" xfId="0" applyFont="1" applyFill="1"/>
    <xf numFmtId="0" fontId="0" fillId="4" borderId="4" xfId="0" applyFill="1" applyBorder="1"/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9" fontId="1" fillId="4" borderId="4" xfId="2" applyFont="1" applyFill="1" applyBorder="1"/>
    <xf numFmtId="0" fontId="0" fillId="4" borderId="4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9" fontId="1" fillId="4" borderId="3" xfId="2" applyFont="1" applyFill="1" applyBorder="1"/>
    <xf numFmtId="0" fontId="0" fillId="4" borderId="0" xfId="0" applyFont="1" applyFill="1" applyAlignment="1">
      <alignment vertical="center"/>
    </xf>
    <xf numFmtId="0" fontId="2" fillId="7" borderId="0" xfId="0" applyFont="1" applyFill="1"/>
    <xf numFmtId="0" fontId="0" fillId="7" borderId="0" xfId="0" applyFont="1" applyFill="1"/>
    <xf numFmtId="0" fontId="0" fillId="7" borderId="1" xfId="0" applyFill="1" applyBorder="1" applyAlignment="1">
      <alignment horizontal="center"/>
    </xf>
    <xf numFmtId="0" fontId="0" fillId="7" borderId="4" xfId="0" applyFill="1" applyBorder="1"/>
    <xf numFmtId="0" fontId="0" fillId="7" borderId="3" xfId="0" applyFill="1" applyBorder="1"/>
    <xf numFmtId="0" fontId="0" fillId="7" borderId="4" xfId="0" applyFill="1" applyBorder="1" applyAlignment="1">
      <alignment horizontal="center" vertical="top" wrapText="1"/>
    </xf>
    <xf numFmtId="0" fontId="0" fillId="7" borderId="2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9" fontId="1" fillId="7" borderId="4" xfId="2" applyFont="1" applyFill="1" applyBorder="1"/>
    <xf numFmtId="9" fontId="1" fillId="7" borderId="3" xfId="2" applyFont="1" applyFill="1" applyBorder="1"/>
    <xf numFmtId="0" fontId="0" fillId="7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38" fontId="0" fillId="6" borderId="0" xfId="0" applyNumberFormat="1" applyFill="1" applyAlignment="1">
      <alignment vertical="center"/>
    </xf>
    <xf numFmtId="6" fontId="0" fillId="6" borderId="0" xfId="0" applyNumberFormat="1" applyFill="1" applyAlignment="1">
      <alignment vertical="center"/>
    </xf>
    <xf numFmtId="6" fontId="0" fillId="6" borderId="12" xfId="0" applyNumberFormat="1" applyFill="1" applyBorder="1" applyAlignment="1">
      <alignment vertical="center"/>
    </xf>
    <xf numFmtId="6" fontId="0" fillId="6" borderId="0" xfId="0" applyNumberFormat="1" applyFill="1" applyBorder="1" applyAlignment="1">
      <alignment vertical="center"/>
    </xf>
    <xf numFmtId="164" fontId="1" fillId="6" borderId="0" xfId="1" applyNumberFormat="1" applyFont="1" applyFill="1" applyBorder="1" applyAlignment="1">
      <alignment vertical="center"/>
    </xf>
    <xf numFmtId="0" fontId="0" fillId="6" borderId="17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6" fontId="0" fillId="4" borderId="0" xfId="0" applyNumberFormat="1" applyFill="1" applyBorder="1" applyAlignment="1">
      <alignment vertical="center"/>
    </xf>
    <xf numFmtId="6" fontId="0" fillId="4" borderId="0" xfId="0" applyNumberFormat="1" applyFill="1" applyAlignment="1">
      <alignment vertical="center"/>
    </xf>
    <xf numFmtId="6" fontId="0" fillId="4" borderId="12" xfId="0" applyNumberFormat="1" applyFill="1" applyBorder="1" applyAlignment="1">
      <alignment vertical="center"/>
    </xf>
    <xf numFmtId="164" fontId="1" fillId="4" borderId="0" xfId="1" applyNumberFormat="1" applyFont="1" applyFill="1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2" fillId="0" borderId="21" xfId="0" applyFont="1" applyFill="1" applyBorder="1"/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3" fillId="3" borderId="1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center" wrapText="1"/>
    </xf>
    <xf numFmtId="0" fontId="0" fillId="6" borderId="4" xfId="0" applyFill="1" applyBorder="1" applyAlignment="1">
      <alignment horizontal="center"/>
    </xf>
    <xf numFmtId="175" fontId="0" fillId="4" borderId="0" xfId="0" applyNumberFormat="1" applyFill="1" applyBorder="1" applyAlignment="1">
      <alignment vertical="center"/>
    </xf>
    <xf numFmtId="6" fontId="0" fillId="4" borderId="0" xfId="0" applyNumberFormat="1" applyFont="1" applyFill="1" applyAlignment="1">
      <alignment vertical="center"/>
    </xf>
    <xf numFmtId="0" fontId="0" fillId="7" borderId="0" xfId="0" applyFill="1"/>
    <xf numFmtId="164" fontId="1" fillId="7" borderId="0" xfId="1" applyNumberFormat="1" applyFont="1" applyFill="1" applyBorder="1" applyAlignment="1">
      <alignment vertical="center"/>
    </xf>
    <xf numFmtId="6" fontId="0" fillId="7" borderId="0" xfId="0" applyNumberFormat="1" applyFill="1" applyBorder="1" applyAlignment="1">
      <alignment vertical="center"/>
    </xf>
    <xf numFmtId="175" fontId="0" fillId="7" borderId="0" xfId="0" applyNumberFormat="1" applyFill="1" applyBorder="1" applyAlignment="1">
      <alignment vertical="center"/>
    </xf>
    <xf numFmtId="6" fontId="0" fillId="7" borderId="12" xfId="0" applyNumberFormat="1" applyFill="1" applyBorder="1" applyAlignment="1">
      <alignment vertical="center"/>
    </xf>
    <xf numFmtId="6" fontId="0" fillId="7" borderId="0" xfId="0" applyNumberFormat="1" applyFill="1" applyAlignment="1">
      <alignment vertical="center"/>
    </xf>
    <xf numFmtId="0" fontId="0" fillId="7" borderId="17" xfId="0" applyFill="1" applyBorder="1" applyAlignment="1">
      <alignment horizontal="center" vertical="center"/>
    </xf>
    <xf numFmtId="6" fontId="0" fillId="7" borderId="0" xfId="0" applyNumberFormat="1" applyFont="1" applyFill="1" applyAlignment="1">
      <alignment vertical="center"/>
    </xf>
    <xf numFmtId="164" fontId="0" fillId="0" borderId="0" xfId="1" applyNumberFormat="1" applyFont="1"/>
    <xf numFmtId="43" fontId="3" fillId="0" borderId="21" xfId="1" applyNumberFormat="1" applyFont="1" applyFill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vertical="center" wrapText="1"/>
    </xf>
    <xf numFmtId="9" fontId="0" fillId="17" borderId="47" xfId="0" applyNumberFormat="1" applyFont="1" applyFill="1" applyBorder="1" applyAlignment="1">
      <alignment horizontal="center"/>
    </xf>
    <xf numFmtId="9" fontId="0" fillId="17" borderId="48" xfId="0" applyNumberFormat="1" applyFont="1" applyFill="1" applyBorder="1" applyAlignment="1">
      <alignment horizontal="center"/>
    </xf>
    <xf numFmtId="9" fontId="23" fillId="17" borderId="49" xfId="0" applyNumberFormat="1" applyFont="1" applyFill="1" applyBorder="1" applyAlignment="1">
      <alignment horizontal="center"/>
    </xf>
    <xf numFmtId="9" fontId="23" fillId="17" borderId="50" xfId="0" applyNumberFormat="1" applyFont="1" applyFill="1" applyBorder="1" applyAlignment="1">
      <alignment horizontal="center"/>
    </xf>
    <xf numFmtId="38" fontId="2" fillId="17" borderId="47" xfId="0" applyNumberFormat="1" applyFont="1" applyFill="1" applyBorder="1"/>
    <xf numFmtId="38" fontId="2" fillId="17" borderId="48" xfId="0" applyNumberFormat="1" applyFont="1" applyFill="1" applyBorder="1"/>
    <xf numFmtId="0" fontId="0" fillId="17" borderId="47" xfId="0" applyFill="1" applyBorder="1"/>
    <xf numFmtId="0" fontId="0" fillId="17" borderId="48" xfId="0" applyFill="1" applyBorder="1"/>
    <xf numFmtId="9" fontId="2" fillId="17" borderId="52" xfId="2" applyFont="1" applyFill="1" applyBorder="1"/>
    <xf numFmtId="9" fontId="2" fillId="17" borderId="51" xfId="2" applyFont="1" applyFill="1" applyBorder="1"/>
    <xf numFmtId="9" fontId="2" fillId="17" borderId="26" xfId="2" applyFont="1" applyFill="1" applyBorder="1"/>
    <xf numFmtId="38" fontId="2" fillId="0" borderId="47" xfId="0" applyNumberFormat="1" applyFont="1" applyBorder="1"/>
    <xf numFmtId="38" fontId="2" fillId="0" borderId="48" xfId="0" applyNumberFormat="1" applyFont="1" applyBorder="1"/>
    <xf numFmtId="176" fontId="2" fillId="17" borderId="47" xfId="0" applyNumberFormat="1" applyFont="1" applyFill="1" applyBorder="1" applyAlignment="1">
      <alignment horizontal="right" indent="1"/>
    </xf>
    <xf numFmtId="173" fontId="2" fillId="17" borderId="48" xfId="2" applyNumberFormat="1" applyFont="1" applyFill="1" applyBorder="1" applyAlignment="1">
      <alignment horizontal="right" indent="1"/>
    </xf>
    <xf numFmtId="6" fontId="2" fillId="17" borderId="47" xfId="0" applyNumberFormat="1" applyFont="1" applyFill="1" applyBorder="1" applyAlignment="1">
      <alignment horizontal="right" indent="1"/>
    </xf>
    <xf numFmtId="0" fontId="0" fillId="17" borderId="47" xfId="0" applyFill="1" applyBorder="1" applyAlignment="1">
      <alignment horizontal="right" indent="1"/>
    </xf>
    <xf numFmtId="0" fontId="0" fillId="17" borderId="48" xfId="0" applyFill="1" applyBorder="1" applyAlignment="1">
      <alignment horizontal="right" indent="1"/>
    </xf>
    <xf numFmtId="178" fontId="0" fillId="17" borderId="47" xfId="0" applyNumberFormat="1" applyFill="1" applyBorder="1" applyAlignment="1">
      <alignment horizontal="right" indent="1"/>
    </xf>
    <xf numFmtId="173" fontId="0" fillId="17" borderId="48" xfId="2" applyNumberFormat="1" applyFont="1" applyFill="1" applyBorder="1" applyAlignment="1">
      <alignment horizontal="right" indent="1"/>
    </xf>
    <xf numFmtId="178" fontId="2" fillId="17" borderId="47" xfId="0" applyNumberFormat="1" applyFont="1" applyFill="1" applyBorder="1" applyAlignment="1">
      <alignment horizontal="right" indent="1"/>
    </xf>
    <xf numFmtId="178" fontId="0" fillId="17" borderId="47" xfId="0" applyNumberFormat="1" applyFont="1" applyFill="1" applyBorder="1" applyAlignment="1">
      <alignment horizontal="right" indent="1"/>
    </xf>
    <xf numFmtId="38" fontId="2" fillId="17" borderId="47" xfId="0" applyNumberFormat="1" applyFont="1" applyFill="1" applyBorder="1" applyAlignment="1">
      <alignment horizontal="right" indent="1"/>
    </xf>
    <xf numFmtId="38" fontId="2" fillId="17" borderId="48" xfId="0" applyNumberFormat="1" applyFont="1" applyFill="1" applyBorder="1" applyAlignment="1">
      <alignment horizontal="right" indent="1"/>
    </xf>
    <xf numFmtId="6" fontId="0" fillId="17" borderId="48" xfId="0" applyNumberFormat="1" applyFill="1" applyBorder="1" applyAlignment="1">
      <alignment horizontal="right" indent="1"/>
    </xf>
    <xf numFmtId="6" fontId="0" fillId="17" borderId="47" xfId="0" applyNumberFormat="1" applyFill="1" applyBorder="1" applyAlignment="1">
      <alignment horizontal="right" indent="1"/>
    </xf>
    <xf numFmtId="177" fontId="0" fillId="17" borderId="47" xfId="0" applyNumberFormat="1" applyFill="1" applyBorder="1" applyAlignment="1">
      <alignment horizontal="right" indent="1"/>
    </xf>
    <xf numFmtId="38" fontId="0" fillId="17" borderId="47" xfId="0" applyNumberFormat="1" applyFont="1" applyFill="1" applyBorder="1" applyAlignment="1">
      <alignment horizontal="right" indent="1"/>
    </xf>
    <xf numFmtId="9" fontId="0" fillId="17" borderId="48" xfId="2" applyFont="1" applyFill="1" applyBorder="1" applyAlignment="1">
      <alignment horizontal="right" indent="1"/>
    </xf>
    <xf numFmtId="9" fontId="2" fillId="17" borderId="48" xfId="2" applyFont="1" applyFill="1" applyBorder="1" applyAlignment="1">
      <alignment horizontal="right" indent="1"/>
    </xf>
    <xf numFmtId="38" fontId="0" fillId="17" borderId="48" xfId="0" applyNumberFormat="1" applyFont="1" applyFill="1" applyBorder="1" applyAlignment="1">
      <alignment horizontal="right" indent="1"/>
    </xf>
    <xf numFmtId="9" fontId="1" fillId="17" borderId="48" xfId="2" applyFont="1" applyFill="1" applyBorder="1" applyAlignment="1">
      <alignment horizontal="right" indent="1"/>
    </xf>
    <xf numFmtId="0" fontId="2" fillId="17" borderId="0" xfId="0" applyFont="1" applyFill="1"/>
    <xf numFmtId="0" fontId="0" fillId="17" borderId="0" xfId="0" applyFont="1" applyFill="1"/>
    <xf numFmtId="0" fontId="0" fillId="17" borderId="4" xfId="0" applyFill="1" applyBorder="1"/>
    <xf numFmtId="0" fontId="0" fillId="17" borderId="4" xfId="0" applyFill="1" applyBorder="1" applyAlignment="1">
      <alignment horizontal="center"/>
    </xf>
    <xf numFmtId="9" fontId="1" fillId="17" borderId="4" xfId="2" applyFont="1" applyFill="1" applyBorder="1"/>
    <xf numFmtId="0" fontId="0" fillId="17" borderId="4" xfId="0" applyFill="1" applyBorder="1" applyAlignment="1">
      <alignment horizontal="center" vertical="top" wrapText="1"/>
    </xf>
    <xf numFmtId="6" fontId="0" fillId="17" borderId="0" xfId="0" applyNumberFormat="1" applyFont="1" applyFill="1" applyAlignment="1">
      <alignment vertical="center"/>
    </xf>
    <xf numFmtId="164" fontId="1" fillId="17" borderId="0" xfId="1" applyNumberFormat="1" applyFont="1" applyFill="1" applyBorder="1" applyAlignment="1">
      <alignment vertical="center"/>
    </xf>
    <xf numFmtId="175" fontId="0" fillId="17" borderId="0" xfId="0" applyNumberFormat="1" applyFill="1" applyBorder="1" applyAlignment="1">
      <alignment vertical="center"/>
    </xf>
    <xf numFmtId="0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38" fontId="0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8" fontId="2" fillId="18" borderId="3" xfId="0" applyNumberFormat="1" applyFont="1" applyFill="1" applyBorder="1" applyAlignment="1">
      <alignment horizontal="left"/>
    </xf>
    <xf numFmtId="6" fontId="2" fillId="18" borderId="1" xfId="0" applyNumberFormat="1" applyFont="1" applyFill="1" applyBorder="1" applyAlignment="1">
      <alignment horizontal="center"/>
    </xf>
    <xf numFmtId="38" fontId="2" fillId="18" borderId="1" xfId="0" applyNumberFormat="1" applyFont="1" applyFill="1" applyBorder="1" applyAlignment="1">
      <alignment horizontal="center"/>
    </xf>
    <xf numFmtId="38" fontId="2" fillId="18" borderId="2" xfId="0" applyNumberFormat="1" applyFont="1" applyFill="1" applyBorder="1" applyAlignment="1">
      <alignment horizontal="center"/>
    </xf>
    <xf numFmtId="38" fontId="2" fillId="18" borderId="2" xfId="0" applyNumberFormat="1" applyFont="1" applyFill="1" applyBorder="1" applyAlignment="1">
      <alignment horizontal="left"/>
    </xf>
    <xf numFmtId="38" fontId="2" fillId="18" borderId="4" xfId="0" applyNumberFormat="1" applyFont="1" applyFill="1" applyBorder="1" applyAlignment="1">
      <alignment horizontal="center"/>
    </xf>
    <xf numFmtId="38" fontId="0" fillId="18" borderId="4" xfId="0" applyNumberFormat="1" applyFont="1" applyFill="1" applyBorder="1" applyAlignment="1">
      <alignment horizontal="center"/>
    </xf>
    <xf numFmtId="9" fontId="0" fillId="18" borderId="4" xfId="2" applyFont="1" applyFill="1" applyBorder="1" applyAlignment="1">
      <alignment horizontal="center"/>
    </xf>
    <xf numFmtId="38" fontId="2" fillId="18" borderId="0" xfId="0" applyNumberFormat="1" applyFont="1" applyFill="1" applyAlignment="1">
      <alignment horizontal="left"/>
    </xf>
    <xf numFmtId="6" fontId="0" fillId="18" borderId="0" xfId="0" applyNumberFormat="1" applyFont="1" applyFill="1" applyAlignment="1">
      <alignment horizontal="center"/>
    </xf>
    <xf numFmtId="38" fontId="0" fillId="18" borderId="0" xfId="0" applyNumberFormat="1" applyFont="1" applyFill="1" applyAlignment="1">
      <alignment horizontal="center"/>
    </xf>
    <xf numFmtId="38" fontId="0" fillId="18" borderId="0" xfId="0" applyNumberFormat="1" applyFont="1" applyFill="1" applyBorder="1" applyAlignment="1">
      <alignment horizontal="center"/>
    </xf>
    <xf numFmtId="167" fontId="0" fillId="18" borderId="0" xfId="2" applyNumberFormat="1" applyFont="1" applyFill="1" applyAlignment="1">
      <alignment horizontal="center"/>
    </xf>
    <xf numFmtId="6" fontId="0" fillId="18" borderId="0" xfId="0" applyNumberFormat="1" applyFont="1" applyFill="1" applyBorder="1" applyAlignment="1">
      <alignment horizontal="center"/>
    </xf>
    <xf numFmtId="167" fontId="0" fillId="18" borderId="0" xfId="0" applyNumberFormat="1" applyFont="1" applyFill="1" applyBorder="1" applyAlignment="1">
      <alignment horizontal="center"/>
    </xf>
    <xf numFmtId="6" fontId="4" fillId="18" borderId="1" xfId="0" applyNumberFormat="1" applyFont="1" applyFill="1" applyBorder="1" applyAlignment="1">
      <alignment horizontal="center" wrapText="1"/>
    </xf>
    <xf numFmtId="38" fontId="4" fillId="18" borderId="1" xfId="0" applyNumberFormat="1" applyFont="1" applyFill="1" applyBorder="1" applyAlignment="1">
      <alignment horizontal="center" wrapText="1"/>
    </xf>
    <xf numFmtId="43" fontId="0" fillId="18" borderId="1" xfId="0" applyNumberFormat="1" applyFont="1" applyFill="1" applyBorder="1" applyAlignment="1">
      <alignment horizontal="center" vertical="center"/>
    </xf>
    <xf numFmtId="6" fontId="0" fillId="18" borderId="1" xfId="0" applyNumberFormat="1" applyFont="1" applyFill="1" applyBorder="1" applyAlignment="1">
      <alignment horizontal="left" vertical="center"/>
    </xf>
    <xf numFmtId="9" fontId="0" fillId="18" borderId="1" xfId="2" applyFont="1" applyFill="1" applyBorder="1" applyAlignment="1">
      <alignment horizontal="center" vertical="center"/>
    </xf>
    <xf numFmtId="169" fontId="0" fillId="18" borderId="1" xfId="0" applyNumberFormat="1" applyFont="1" applyFill="1" applyBorder="1" applyAlignment="1">
      <alignment horizontal="center" vertical="center"/>
    </xf>
    <xf numFmtId="38" fontId="0" fillId="18" borderId="1" xfId="0" applyNumberFormat="1" applyFont="1" applyFill="1" applyBorder="1" applyAlignment="1">
      <alignment horizontal="center" vertical="center"/>
    </xf>
    <xf numFmtId="6" fontId="0" fillId="18" borderId="1" xfId="0" applyNumberFormat="1" applyFont="1" applyFill="1" applyBorder="1" applyAlignment="1">
      <alignment horizontal="center" vertical="center"/>
    </xf>
    <xf numFmtId="9" fontId="0" fillId="17" borderId="0" xfId="0" applyNumberFormat="1" applyFont="1" applyFill="1" applyBorder="1" applyAlignment="1">
      <alignment horizontal="center"/>
    </xf>
    <xf numFmtId="9" fontId="2" fillId="0" borderId="0" xfId="0" applyNumberFormat="1" applyFont="1"/>
    <xf numFmtId="38" fontId="2" fillId="19" borderId="3" xfId="0" applyNumberFormat="1" applyFont="1" applyFill="1" applyBorder="1" applyAlignment="1">
      <alignment horizontal="left"/>
    </xf>
    <xf numFmtId="6" fontId="2" fillId="19" borderId="1" xfId="0" applyNumberFormat="1" applyFont="1" applyFill="1" applyBorder="1" applyAlignment="1">
      <alignment horizontal="center"/>
    </xf>
    <xf numFmtId="38" fontId="2" fillId="19" borderId="1" xfId="0" applyNumberFormat="1" applyFont="1" applyFill="1" applyBorder="1" applyAlignment="1">
      <alignment horizontal="center"/>
    </xf>
    <xf numFmtId="38" fontId="2" fillId="19" borderId="2" xfId="0" applyNumberFormat="1" applyFont="1" applyFill="1" applyBorder="1" applyAlignment="1">
      <alignment horizontal="center"/>
    </xf>
    <xf numFmtId="38" fontId="2" fillId="19" borderId="2" xfId="0" applyNumberFormat="1" applyFont="1" applyFill="1" applyBorder="1" applyAlignment="1">
      <alignment horizontal="left"/>
    </xf>
    <xf numFmtId="38" fontId="2" fillId="19" borderId="4" xfId="0" applyNumberFormat="1" applyFont="1" applyFill="1" applyBorder="1" applyAlignment="1">
      <alignment horizontal="center"/>
    </xf>
    <xf numFmtId="38" fontId="0" fillId="19" borderId="0" xfId="0" applyNumberFormat="1" applyFont="1" applyFill="1" applyAlignment="1">
      <alignment horizontal="center"/>
    </xf>
    <xf numFmtId="38" fontId="0" fillId="19" borderId="4" xfId="0" applyNumberFormat="1" applyFont="1" applyFill="1" applyBorder="1" applyAlignment="1">
      <alignment horizontal="center"/>
    </xf>
    <xf numFmtId="9" fontId="0" fillId="19" borderId="4" xfId="2" applyFont="1" applyFill="1" applyBorder="1" applyAlignment="1">
      <alignment horizontal="center"/>
    </xf>
    <xf numFmtId="38" fontId="2" fillId="19" borderId="0" xfId="0" applyNumberFormat="1" applyFont="1" applyFill="1" applyAlignment="1">
      <alignment horizontal="left"/>
    </xf>
    <xf numFmtId="6" fontId="0" fillId="19" borderId="0" xfId="0" applyNumberFormat="1" applyFont="1" applyFill="1" applyAlignment="1">
      <alignment horizontal="center"/>
    </xf>
    <xf numFmtId="38" fontId="0" fillId="19" borderId="0" xfId="0" applyNumberFormat="1" applyFont="1" applyFill="1" applyBorder="1" applyAlignment="1">
      <alignment horizontal="center"/>
    </xf>
    <xf numFmtId="167" fontId="0" fillId="19" borderId="0" xfId="0" applyNumberFormat="1" applyFont="1" applyFill="1" applyBorder="1" applyAlignment="1">
      <alignment horizontal="center"/>
    </xf>
    <xf numFmtId="167" fontId="0" fillId="19" borderId="0" xfId="2" applyNumberFormat="1" applyFont="1" applyFill="1" applyAlignment="1">
      <alignment horizontal="center"/>
    </xf>
    <xf numFmtId="6" fontId="0" fillId="19" borderId="0" xfId="0" applyNumberFormat="1" applyFont="1" applyFill="1" applyBorder="1" applyAlignment="1">
      <alignment horizontal="center"/>
    </xf>
    <xf numFmtId="6" fontId="4" fillId="19" borderId="1" xfId="0" applyNumberFormat="1" applyFont="1" applyFill="1" applyBorder="1" applyAlignment="1">
      <alignment horizontal="center" wrapText="1"/>
    </xf>
    <xf numFmtId="38" fontId="4" fillId="19" borderId="1" xfId="0" applyNumberFormat="1" applyFont="1" applyFill="1" applyBorder="1" applyAlignment="1">
      <alignment horizontal="center" wrapText="1"/>
    </xf>
    <xf numFmtId="43" fontId="0" fillId="19" borderId="1" xfId="0" applyNumberFormat="1" applyFont="1" applyFill="1" applyBorder="1" applyAlignment="1">
      <alignment horizontal="center" vertical="center"/>
    </xf>
    <xf numFmtId="6" fontId="0" fillId="19" borderId="1" xfId="0" applyNumberFormat="1" applyFont="1" applyFill="1" applyBorder="1" applyAlignment="1">
      <alignment horizontal="left" vertical="center"/>
    </xf>
    <xf numFmtId="9" fontId="0" fillId="19" borderId="1" xfId="2" applyFont="1" applyFill="1" applyBorder="1" applyAlignment="1">
      <alignment horizontal="center" vertical="center"/>
    </xf>
    <xf numFmtId="169" fontId="0" fillId="19" borderId="1" xfId="0" applyNumberFormat="1" applyFont="1" applyFill="1" applyBorder="1" applyAlignment="1">
      <alignment horizontal="center" vertical="center"/>
    </xf>
    <xf numFmtId="38" fontId="0" fillId="19" borderId="1" xfId="0" applyNumberFormat="1" applyFont="1" applyFill="1" applyBorder="1" applyAlignment="1">
      <alignment horizontal="center" vertical="center"/>
    </xf>
    <xf numFmtId="6" fontId="0" fillId="19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9" fillId="0" borderId="0" xfId="0" applyFont="1" applyBorder="1" applyAlignment="1">
      <alignment horizontal="left" indent="1"/>
    </xf>
    <xf numFmtId="0" fontId="23" fillId="0" borderId="44" xfId="0" applyFont="1" applyBorder="1"/>
    <xf numFmtId="0" fontId="0" fillId="0" borderId="0" xfId="0" applyBorder="1" applyAlignment="1">
      <alignment horizontal="left" indent="1"/>
    </xf>
    <xf numFmtId="8" fontId="0" fillId="4" borderId="0" xfId="0" applyNumberFormat="1" applyFont="1" applyFill="1" applyBorder="1" applyAlignment="1">
      <alignment horizontal="center"/>
    </xf>
    <xf numFmtId="6" fontId="0" fillId="17" borderId="0" xfId="0" applyNumberFormat="1" applyFill="1" applyBorder="1" applyAlignment="1">
      <alignment horizontal="right" indent="1"/>
    </xf>
    <xf numFmtId="0" fontId="31" fillId="0" borderId="0" xfId="0" applyFont="1"/>
    <xf numFmtId="42" fontId="31" fillId="0" borderId="0" xfId="0" applyNumberFormat="1" applyFont="1"/>
    <xf numFmtId="166" fontId="31" fillId="0" borderId="0" xfId="0" applyNumberFormat="1" applyFont="1" applyFill="1" applyBorder="1"/>
    <xf numFmtId="0" fontId="31" fillId="0" borderId="0" xfId="0" applyFont="1" applyFill="1" applyBorder="1"/>
    <xf numFmtId="166" fontId="32" fillId="20" borderId="53" xfId="0" applyNumberFormat="1" applyFont="1" applyFill="1" applyBorder="1"/>
    <xf numFmtId="0" fontId="31" fillId="0" borderId="26" xfId="0" applyFont="1" applyBorder="1"/>
    <xf numFmtId="166" fontId="32" fillId="20" borderId="54" xfId="0" applyNumberFormat="1" applyFont="1" applyFill="1" applyBorder="1"/>
    <xf numFmtId="0" fontId="31" fillId="0" borderId="7" xfId="0" applyFont="1" applyBorder="1"/>
    <xf numFmtId="0" fontId="31" fillId="0" borderId="0" xfId="0" applyFont="1" applyBorder="1"/>
    <xf numFmtId="0" fontId="31" fillId="0" borderId="12" xfId="0" applyFont="1" applyBorder="1"/>
    <xf numFmtId="42" fontId="31" fillId="0" borderId="0" xfId="0" applyNumberFormat="1" applyFont="1" applyFill="1" applyBorder="1"/>
    <xf numFmtId="42" fontId="31" fillId="0" borderId="40" xfId="0" applyNumberFormat="1" applyFont="1" applyBorder="1"/>
    <xf numFmtId="9" fontId="31" fillId="0" borderId="0" xfId="2" applyFont="1" applyBorder="1"/>
    <xf numFmtId="42" fontId="31" fillId="0" borderId="19" xfId="0" applyNumberFormat="1" applyFont="1" applyBorder="1"/>
    <xf numFmtId="0" fontId="31" fillId="0" borderId="0" xfId="0" applyFont="1" applyAlignment="1">
      <alignment horizontal="left" indent="1"/>
    </xf>
    <xf numFmtId="42" fontId="31" fillId="0" borderId="7" xfId="0" applyNumberFormat="1" applyFont="1" applyBorder="1"/>
    <xf numFmtId="42" fontId="31" fillId="0" borderId="12" xfId="0" applyNumberFormat="1" applyFont="1" applyBorder="1"/>
    <xf numFmtId="42" fontId="31" fillId="0" borderId="7" xfId="0" applyNumberFormat="1" applyFont="1" applyFill="1" applyBorder="1"/>
    <xf numFmtId="42" fontId="31" fillId="0" borderId="12" xfId="0" applyNumberFormat="1" applyFont="1" applyFill="1" applyBorder="1"/>
    <xf numFmtId="42" fontId="31" fillId="0" borderId="40" xfId="0" applyNumberFormat="1" applyFont="1" applyFill="1" applyBorder="1"/>
    <xf numFmtId="42" fontId="31" fillId="0" borderId="19" xfId="0" applyNumberFormat="1" applyFont="1" applyFill="1" applyBorder="1"/>
    <xf numFmtId="9" fontId="33" fillId="0" borderId="0" xfId="16" applyFont="1" applyFill="1" applyBorder="1"/>
    <xf numFmtId="9" fontId="33" fillId="0" borderId="7" xfId="16" applyFont="1" applyFill="1" applyBorder="1"/>
    <xf numFmtId="9" fontId="33" fillId="0" borderId="12" xfId="16" applyFont="1" applyFill="1" applyBorder="1"/>
    <xf numFmtId="10" fontId="31" fillId="0" borderId="0" xfId="2" applyNumberFormat="1" applyFont="1" applyFill="1" applyBorder="1"/>
    <xf numFmtId="10" fontId="31" fillId="0" borderId="7" xfId="2" applyNumberFormat="1" applyFont="1" applyBorder="1"/>
    <xf numFmtId="10" fontId="31" fillId="0" borderId="12" xfId="2" applyNumberFormat="1" applyFont="1" applyBorder="1"/>
    <xf numFmtId="179" fontId="31" fillId="0" borderId="0" xfId="0" applyNumberFormat="1" applyFont="1" applyFill="1" applyBorder="1"/>
    <xf numFmtId="179" fontId="31" fillId="0" borderId="7" xfId="0" applyNumberFormat="1" applyFont="1" applyFill="1" applyBorder="1"/>
    <xf numFmtId="179" fontId="31" fillId="0" borderId="12" xfId="0" applyNumberFormat="1" applyFont="1" applyFill="1" applyBorder="1"/>
    <xf numFmtId="37" fontId="31" fillId="0" borderId="7" xfId="0" applyNumberFormat="1" applyFont="1" applyBorder="1"/>
    <xf numFmtId="37" fontId="31" fillId="0" borderId="0" xfId="0" applyNumberFormat="1" applyFont="1" applyBorder="1"/>
    <xf numFmtId="37" fontId="31" fillId="0" borderId="12" xfId="0" applyNumberFormat="1" applyFont="1" applyBorder="1"/>
    <xf numFmtId="0" fontId="31" fillId="0" borderId="0" xfId="0" applyFont="1" applyFill="1"/>
    <xf numFmtId="0" fontId="34" fillId="0" borderId="7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32" fillId="0" borderId="0" xfId="0" applyFont="1" applyFill="1"/>
    <xf numFmtId="0" fontId="35" fillId="21" borderId="40" xfId="0" applyFont="1" applyFill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5" fillId="21" borderId="19" xfId="0" applyFont="1" applyFill="1" applyBorder="1" applyAlignment="1">
      <alignment horizontal="center"/>
    </xf>
    <xf numFmtId="0" fontId="32" fillId="0" borderId="0" xfId="0" applyFont="1"/>
    <xf numFmtId="0" fontId="34" fillId="22" borderId="0" xfId="0" applyFont="1" applyFill="1" applyAlignment="1">
      <alignment horizontal="centerContinuous"/>
    </xf>
    <xf numFmtId="0" fontId="36" fillId="0" borderId="0" xfId="0" applyFont="1" applyFill="1"/>
    <xf numFmtId="0" fontId="34" fillId="22" borderId="0" xfId="0" applyFont="1" applyFill="1"/>
    <xf numFmtId="0" fontId="36" fillId="22" borderId="0" xfId="0" applyFont="1" applyFill="1"/>
    <xf numFmtId="167" fontId="31" fillId="0" borderId="0" xfId="0" applyNumberFormat="1" applyFont="1" applyFill="1"/>
    <xf numFmtId="165" fontId="32" fillId="0" borderId="0" xfId="0" applyNumberFormat="1" applyFont="1" applyBorder="1" applyAlignment="1">
      <alignment horizontal="right" indent="3"/>
    </xf>
    <xf numFmtId="165" fontId="32" fillId="0" borderId="0" xfId="0" applyNumberFormat="1" applyFont="1" applyBorder="1"/>
    <xf numFmtId="0" fontId="31" fillId="21" borderId="0" xfId="0" applyFont="1" applyFill="1"/>
    <xf numFmtId="0" fontId="32" fillId="21" borderId="0" xfId="0" applyFont="1" applyFill="1"/>
    <xf numFmtId="165" fontId="32" fillId="0" borderId="21" xfId="0" applyNumberFormat="1" applyFont="1" applyBorder="1" applyAlignment="1">
      <alignment horizontal="right" indent="3"/>
    </xf>
    <xf numFmtId="165" fontId="32" fillId="0" borderId="21" xfId="0" applyNumberFormat="1" applyFont="1" applyBorder="1"/>
    <xf numFmtId="167" fontId="31" fillId="21" borderId="21" xfId="0" applyNumberFormat="1" applyFont="1" applyFill="1" applyBorder="1"/>
    <xf numFmtId="9" fontId="31" fillId="0" borderId="0" xfId="0" applyNumberFormat="1" applyFont="1" applyBorder="1" applyAlignment="1">
      <alignment horizontal="right" indent="3"/>
    </xf>
    <xf numFmtId="165" fontId="31" fillId="0" borderId="0" xfId="0" applyNumberFormat="1" applyFont="1" applyBorder="1" applyAlignment="1">
      <alignment horizontal="right" indent="3"/>
    </xf>
    <xf numFmtId="9" fontId="31" fillId="0" borderId="0" xfId="0" applyNumberFormat="1" applyFont="1" applyBorder="1"/>
    <xf numFmtId="9" fontId="37" fillId="0" borderId="0" xfId="12" applyNumberFormat="1" applyFont="1" applyFill="1" applyBorder="1"/>
    <xf numFmtId="0" fontId="32" fillId="0" borderId="0" xfId="0" applyFont="1" applyBorder="1" applyAlignment="1">
      <alignment horizontal="center"/>
    </xf>
    <xf numFmtId="167" fontId="35" fillId="0" borderId="26" xfId="12" applyNumberFormat="1" applyFont="1" applyFill="1" applyBorder="1" applyAlignment="1">
      <alignment horizontal="right"/>
    </xf>
    <xf numFmtId="0" fontId="32" fillId="0" borderId="0" xfId="0" applyFont="1" applyFill="1" applyAlignment="1">
      <alignment horizontal="centerContinuous"/>
    </xf>
    <xf numFmtId="0" fontId="31" fillId="0" borderId="0" xfId="0" applyFont="1" applyFill="1" applyAlignment="1">
      <alignment horizontal="centerContinuous"/>
    </xf>
    <xf numFmtId="0" fontId="38" fillId="0" borderId="0" xfId="0" applyFont="1" applyFill="1" applyAlignment="1">
      <alignment horizontal="centerContinuous"/>
    </xf>
    <xf numFmtId="0" fontId="39" fillId="0" borderId="0" xfId="0" applyFont="1" applyFill="1" applyAlignment="1">
      <alignment horizontal="centerContinuous"/>
    </xf>
    <xf numFmtId="0" fontId="41" fillId="23" borderId="0" xfId="22" applyFont="1" applyFill="1" applyBorder="1" applyAlignment="1">
      <alignment horizontal="left" vertical="center" wrapText="1"/>
    </xf>
    <xf numFmtId="3" fontId="41" fillId="23" borderId="0" xfId="22" applyNumberFormat="1" applyFont="1" applyFill="1" applyBorder="1" applyAlignment="1">
      <alignment horizontal="center" vertical="center" wrapText="1"/>
    </xf>
    <xf numFmtId="0" fontId="42" fillId="0" borderId="0" xfId="22" applyFont="1" applyFill="1" applyBorder="1" applyAlignment="1">
      <alignment horizontal="left" vertical="top"/>
    </xf>
    <xf numFmtId="0" fontId="41" fillId="0" borderId="0" xfId="22" applyFont="1" applyFill="1" applyBorder="1" applyAlignment="1">
      <alignment horizontal="left" vertical="center" wrapText="1"/>
    </xf>
    <xf numFmtId="0" fontId="43" fillId="0" borderId="0" xfId="22" applyFont="1" applyFill="1" applyBorder="1" applyAlignment="1">
      <alignment horizontal="center" vertical="center" wrapText="1"/>
    </xf>
    <xf numFmtId="3" fontId="41" fillId="0" borderId="0" xfId="22" applyNumberFormat="1" applyFont="1" applyFill="1" applyBorder="1" applyAlignment="1">
      <alignment horizontal="center" vertical="center" wrapText="1"/>
    </xf>
    <xf numFmtId="0" fontId="44" fillId="0" borderId="0" xfId="22" applyFont="1" applyFill="1" applyBorder="1" applyAlignment="1">
      <alignment horizontal="left" vertical="top"/>
    </xf>
    <xf numFmtId="3" fontId="41" fillId="24" borderId="55" xfId="22" applyNumberFormat="1" applyFont="1" applyFill="1" applyBorder="1" applyAlignment="1">
      <alignment horizontal="centerContinuous" vertical="top"/>
    </xf>
    <xf numFmtId="0" fontId="41" fillId="24" borderId="56" xfId="22" applyFont="1" applyFill="1" applyBorder="1" applyAlignment="1">
      <alignment horizontal="centerContinuous" vertical="top"/>
    </xf>
    <xf numFmtId="0" fontId="41" fillId="24" borderId="57" xfId="22" applyFont="1" applyFill="1" applyBorder="1" applyAlignment="1">
      <alignment horizontal="centerContinuous" vertical="top"/>
    </xf>
    <xf numFmtId="0" fontId="41" fillId="24" borderId="58" xfId="22" applyFont="1" applyFill="1" applyBorder="1" applyAlignment="1">
      <alignment horizontal="centerContinuous" vertical="top"/>
    </xf>
    <xf numFmtId="0" fontId="40" fillId="24" borderId="56" xfId="22" applyFill="1" applyBorder="1" applyAlignment="1">
      <alignment horizontal="centerContinuous" vertical="top"/>
    </xf>
    <xf numFmtId="0" fontId="40" fillId="0" borderId="0" xfId="22" applyFill="1" applyBorder="1" applyAlignment="1">
      <alignment horizontal="left" vertical="top"/>
    </xf>
    <xf numFmtId="0" fontId="41" fillId="23" borderId="0" xfId="22" applyFont="1" applyFill="1" applyBorder="1" applyAlignment="1">
      <alignment horizontal="center" vertical="center" wrapText="1"/>
    </xf>
    <xf numFmtId="0" fontId="41" fillId="0" borderId="0" xfId="22" applyFont="1" applyFill="1" applyBorder="1" applyAlignment="1">
      <alignment horizontal="center" vertical="center" wrapText="1"/>
    </xf>
    <xf numFmtId="3" fontId="41" fillId="0" borderId="0" xfId="22" applyNumberFormat="1" applyFont="1" applyFill="1" applyBorder="1" applyAlignment="1">
      <alignment horizontal="left" vertical="center" wrapText="1"/>
    </xf>
    <xf numFmtId="0" fontId="45" fillId="0" borderId="0" xfId="22" applyFont="1" applyFill="1" applyBorder="1" applyAlignment="1">
      <alignment horizontal="left" vertical="top"/>
    </xf>
    <xf numFmtId="3" fontId="44" fillId="0" borderId="0" xfId="22" applyNumberFormat="1" applyFont="1" applyFill="1" applyBorder="1" applyAlignment="1">
      <alignment horizontal="left" vertical="top"/>
    </xf>
    <xf numFmtId="0" fontId="44" fillId="0" borderId="0" xfId="22" applyFont="1" applyFill="1" applyBorder="1" applyAlignment="1">
      <alignment horizontal="left" vertical="top" wrapText="1"/>
    </xf>
    <xf numFmtId="42" fontId="44" fillId="0" borderId="0" xfId="22" applyNumberFormat="1" applyFont="1" applyFill="1" applyBorder="1" applyAlignment="1">
      <alignment horizontal="left" vertical="top" wrapText="1"/>
    </xf>
    <xf numFmtId="0" fontId="46" fillId="0" borderId="0" xfId="22" applyFont="1" applyFill="1" applyBorder="1" applyAlignment="1">
      <alignment horizontal="left" vertical="top"/>
    </xf>
    <xf numFmtId="180" fontId="44" fillId="0" borderId="0" xfId="22" applyNumberFormat="1" applyFont="1" applyFill="1" applyBorder="1" applyAlignment="1">
      <alignment horizontal="left" vertical="top"/>
    </xf>
    <xf numFmtId="41" fontId="46" fillId="0" borderId="0" xfId="22" applyNumberFormat="1" applyFont="1" applyFill="1" applyBorder="1" applyAlignment="1">
      <alignment horizontal="left" vertical="top" wrapText="1"/>
    </xf>
    <xf numFmtId="181" fontId="46" fillId="0" borderId="0" xfId="22" applyNumberFormat="1" applyFont="1" applyFill="1" applyBorder="1" applyAlignment="1">
      <alignment horizontal="right" vertical="top" wrapText="1"/>
    </xf>
    <xf numFmtId="42" fontId="46" fillId="0" borderId="0" xfId="22" applyNumberFormat="1" applyFont="1" applyFill="1" applyBorder="1" applyAlignment="1">
      <alignment horizontal="left" vertical="top" wrapText="1"/>
    </xf>
    <xf numFmtId="41" fontId="44" fillId="0" borderId="0" xfId="22" applyNumberFormat="1" applyFont="1" applyFill="1" applyBorder="1" applyAlignment="1">
      <alignment horizontal="left" vertical="top"/>
    </xf>
    <xf numFmtId="41" fontId="44" fillId="0" borderId="0" xfId="22" applyNumberFormat="1" applyFont="1" applyFill="1" applyBorder="1" applyAlignment="1">
      <alignment horizontal="left" vertical="top" wrapText="1"/>
    </xf>
    <xf numFmtId="180" fontId="44" fillId="0" borderId="0" xfId="22" applyNumberFormat="1" applyFont="1" applyFill="1" applyBorder="1" applyAlignment="1">
      <alignment horizontal="right" vertical="top"/>
    </xf>
    <xf numFmtId="180" fontId="47" fillId="0" borderId="0" xfId="22" applyNumberFormat="1" applyFont="1" applyFill="1" applyBorder="1" applyAlignment="1">
      <alignment horizontal="left" vertical="top"/>
    </xf>
    <xf numFmtId="41" fontId="45" fillId="0" borderId="21" xfId="22" applyNumberFormat="1" applyFont="1" applyFill="1" applyBorder="1" applyAlignment="1">
      <alignment horizontal="left" vertical="top" wrapText="1"/>
    </xf>
    <xf numFmtId="41" fontId="45" fillId="0" borderId="0" xfId="22" applyNumberFormat="1" applyFont="1" applyFill="1" applyBorder="1" applyAlignment="1">
      <alignment horizontal="left" vertical="top" wrapText="1"/>
    </xf>
    <xf numFmtId="181" fontId="45" fillId="0" borderId="21" xfId="22" applyNumberFormat="1" applyFont="1" applyFill="1" applyBorder="1" applyAlignment="1">
      <alignment horizontal="right" vertical="top" wrapText="1"/>
    </xf>
    <xf numFmtId="42" fontId="45" fillId="0" borderId="0" xfId="22" applyNumberFormat="1" applyFont="1" applyFill="1" applyBorder="1" applyAlignment="1">
      <alignment horizontal="right" vertical="top" wrapText="1"/>
    </xf>
    <xf numFmtId="42" fontId="45" fillId="0" borderId="0" xfId="22" applyNumberFormat="1" applyFont="1" applyFill="1" applyBorder="1" applyAlignment="1">
      <alignment horizontal="left" vertical="top" wrapText="1"/>
    </xf>
    <xf numFmtId="3" fontId="46" fillId="0" borderId="0" xfId="22" applyNumberFormat="1" applyFont="1" applyFill="1" applyBorder="1" applyAlignment="1">
      <alignment horizontal="left" vertical="top" wrapText="1"/>
    </xf>
    <xf numFmtId="42" fontId="44" fillId="0" borderId="0" xfId="22" applyNumberFormat="1" applyFont="1" applyFill="1" applyBorder="1" applyAlignment="1">
      <alignment horizontal="left" vertical="top"/>
    </xf>
    <xf numFmtId="181" fontId="44" fillId="0" borderId="0" xfId="22" applyNumberFormat="1" applyFont="1" applyFill="1" applyBorder="1" applyAlignment="1">
      <alignment horizontal="left" vertical="top"/>
    </xf>
    <xf numFmtId="0" fontId="45" fillId="0" borderId="0" xfId="22" applyFont="1" applyFill="1" applyBorder="1" applyAlignment="1">
      <alignment horizontal="left" vertical="top" wrapText="1"/>
    </xf>
    <xf numFmtId="0" fontId="47" fillId="0" borderId="0" xfId="22" applyFont="1" applyFill="1" applyBorder="1" applyAlignment="1">
      <alignment horizontal="left" vertical="top"/>
    </xf>
    <xf numFmtId="41" fontId="47" fillId="0" borderId="21" xfId="22" applyNumberFormat="1" applyFont="1" applyFill="1" applyBorder="1" applyAlignment="1">
      <alignment horizontal="left" vertical="top"/>
    </xf>
    <xf numFmtId="41" fontId="47" fillId="0" borderId="0" xfId="22" applyNumberFormat="1" applyFont="1" applyFill="1" applyBorder="1" applyAlignment="1">
      <alignment horizontal="left" vertical="top" wrapText="1"/>
    </xf>
    <xf numFmtId="41" fontId="45" fillId="0" borderId="0" xfId="22" applyNumberFormat="1" applyFont="1" applyFill="1" applyBorder="1" applyAlignment="1">
      <alignment horizontal="right" vertical="top" wrapText="1"/>
    </xf>
    <xf numFmtId="181" fontId="45" fillId="0" borderId="0" xfId="22" applyNumberFormat="1" applyFont="1" applyFill="1" applyBorder="1" applyAlignment="1">
      <alignment horizontal="right" vertical="top" wrapText="1"/>
    </xf>
    <xf numFmtId="41" fontId="47" fillId="0" borderId="0" xfId="22" applyNumberFormat="1" applyFont="1" applyFill="1" applyBorder="1" applyAlignment="1">
      <alignment horizontal="left" vertical="top"/>
    </xf>
    <xf numFmtId="3" fontId="45" fillId="0" borderId="0" xfId="22" applyNumberFormat="1" applyFont="1" applyFill="1" applyBorder="1" applyAlignment="1">
      <alignment horizontal="left" vertical="top" wrapText="1"/>
    </xf>
    <xf numFmtId="41" fontId="44" fillId="0" borderId="0" xfId="22" applyNumberFormat="1" applyFont="1" applyFill="1" applyBorder="1" applyAlignment="1">
      <alignment horizontal="right" vertical="top" wrapText="1"/>
    </xf>
    <xf numFmtId="3" fontId="44" fillId="0" borderId="0" xfId="22" applyNumberFormat="1" applyFont="1" applyFill="1" applyBorder="1" applyAlignment="1">
      <alignment horizontal="left" vertical="top" wrapText="1"/>
    </xf>
    <xf numFmtId="41" fontId="47" fillId="0" borderId="21" xfId="22" applyNumberFormat="1" applyFont="1" applyFill="1" applyBorder="1" applyAlignment="1">
      <alignment horizontal="left" vertical="top" wrapText="1"/>
    </xf>
    <xf numFmtId="3" fontId="47" fillId="0" borderId="0" xfId="22" applyNumberFormat="1" applyFont="1" applyFill="1" applyBorder="1" applyAlignment="1">
      <alignment horizontal="left" vertical="top" wrapText="1"/>
    </xf>
    <xf numFmtId="180" fontId="44" fillId="0" borderId="0" xfId="22" applyNumberFormat="1" applyFont="1" applyFill="1" applyBorder="1" applyAlignment="1">
      <alignment horizontal="left" vertical="top" wrapText="1"/>
    </xf>
    <xf numFmtId="180" fontId="47" fillId="0" borderId="0" xfId="22" applyNumberFormat="1" applyFont="1" applyFill="1" applyBorder="1" applyAlignment="1">
      <alignment horizontal="center" vertical="top" wrapText="1"/>
    </xf>
    <xf numFmtId="3" fontId="47" fillId="0" borderId="0" xfId="22" applyNumberFormat="1" applyFont="1" applyFill="1" applyBorder="1" applyAlignment="1">
      <alignment horizontal="left" vertical="top"/>
    </xf>
    <xf numFmtId="42" fontId="47" fillId="0" borderId="0" xfId="22" applyNumberFormat="1" applyFont="1" applyFill="1" applyBorder="1" applyAlignment="1">
      <alignment horizontal="right" vertical="top"/>
    </xf>
    <xf numFmtId="42" fontId="47" fillId="0" borderId="0" xfId="22" applyNumberFormat="1" applyFont="1" applyFill="1" applyBorder="1" applyAlignment="1">
      <alignment horizontal="left" vertical="top"/>
    </xf>
    <xf numFmtId="9" fontId="45" fillId="0" borderId="0" xfId="23" applyFont="1" applyFill="1" applyBorder="1" applyAlignment="1">
      <alignment horizontal="right" vertical="top" wrapText="1"/>
    </xf>
    <xf numFmtId="0" fontId="47" fillId="0" borderId="21" xfId="22" applyFont="1" applyFill="1" applyBorder="1" applyAlignment="1">
      <alignment horizontal="left" vertical="top"/>
    </xf>
    <xf numFmtId="180" fontId="44" fillId="0" borderId="21" xfId="22" applyNumberFormat="1" applyFont="1" applyFill="1" applyBorder="1" applyAlignment="1">
      <alignment horizontal="left" vertical="top" wrapText="1"/>
    </xf>
    <xf numFmtId="3" fontId="44" fillId="0" borderId="21" xfId="22" applyNumberFormat="1" applyFont="1" applyFill="1" applyBorder="1" applyAlignment="1">
      <alignment horizontal="left" vertical="top"/>
    </xf>
    <xf numFmtId="0" fontId="44" fillId="0" borderId="21" xfId="22" applyFont="1" applyFill="1" applyBorder="1" applyAlignment="1">
      <alignment horizontal="left" vertical="top"/>
    </xf>
    <xf numFmtId="5" fontId="49" fillId="0" borderId="0" xfId="22" applyNumberFormat="1" applyFont="1" applyFill="1" applyBorder="1" applyAlignment="1">
      <alignment horizontal="right" vertical="top" wrapText="1"/>
    </xf>
    <xf numFmtId="3" fontId="44" fillId="0" borderId="0" xfId="22" applyNumberFormat="1" applyFont="1" applyFill="1" applyBorder="1" applyAlignment="1">
      <alignment vertical="top"/>
    </xf>
    <xf numFmtId="167" fontId="49" fillId="0" borderId="0" xfId="22" applyNumberFormat="1" applyFont="1" applyFill="1" applyBorder="1" applyAlignment="1">
      <alignment horizontal="right" vertical="top"/>
    </xf>
    <xf numFmtId="9" fontId="49" fillId="0" borderId="0" xfId="23" applyFont="1" applyFill="1" applyBorder="1" applyAlignment="1">
      <alignment horizontal="right" vertical="top"/>
    </xf>
    <xf numFmtId="167" fontId="50" fillId="0" borderId="0" xfId="22" applyNumberFormat="1" applyFont="1" applyFill="1" applyBorder="1" applyAlignment="1">
      <alignment horizontal="right" vertical="top"/>
    </xf>
    <xf numFmtId="0" fontId="46" fillId="0" borderId="0" xfId="22" applyFont="1" applyFill="1" applyBorder="1" applyAlignment="1">
      <alignment horizontal="left" vertical="top" wrapText="1"/>
    </xf>
    <xf numFmtId="0" fontId="41" fillId="24" borderId="55" xfId="22" applyFont="1" applyFill="1" applyBorder="1" applyAlignment="1">
      <alignment horizontal="centerContinuous" vertical="top"/>
    </xf>
    <xf numFmtId="0" fontId="51" fillId="24" borderId="56" xfId="22" applyFont="1" applyFill="1" applyBorder="1" applyAlignment="1">
      <alignment horizontal="centerContinuous" vertical="top"/>
    </xf>
    <xf numFmtId="0" fontId="51" fillId="24" borderId="57" xfId="22" applyFont="1" applyFill="1" applyBorder="1" applyAlignment="1">
      <alignment horizontal="centerContinuous" vertical="top"/>
    </xf>
    <xf numFmtId="0" fontId="52" fillId="0" borderId="0" xfId="22" applyFont="1" applyFill="1" applyBorder="1" applyAlignment="1">
      <alignment horizontal="left" vertical="center" wrapText="1"/>
    </xf>
    <xf numFmtId="37" fontId="53" fillId="0" borderId="0" xfId="22" applyNumberFormat="1" applyFont="1" applyFill="1" applyBorder="1" applyAlignment="1">
      <alignment horizontal="right" vertical="top"/>
    </xf>
    <xf numFmtId="182" fontId="46" fillId="0" borderId="0" xfId="22" applyNumberFormat="1" applyFont="1" applyFill="1" applyBorder="1" applyAlignment="1">
      <alignment horizontal="right" vertical="top" wrapText="1"/>
    </xf>
    <xf numFmtId="5" fontId="44" fillId="0" borderId="0" xfId="22" applyNumberFormat="1" applyFont="1" applyFill="1" applyBorder="1" applyAlignment="1">
      <alignment horizontal="left" vertical="top"/>
    </xf>
    <xf numFmtId="182" fontId="45" fillId="0" borderId="0" xfId="22" applyNumberFormat="1" applyFont="1" applyFill="1" applyBorder="1" applyAlignment="1">
      <alignment horizontal="right" vertical="top" wrapText="1"/>
    </xf>
    <xf numFmtId="9" fontId="50" fillId="0" borderId="0" xfId="23" applyFont="1" applyFill="1" applyBorder="1" applyAlignment="1">
      <alignment horizontal="center" vertical="top"/>
    </xf>
    <xf numFmtId="9" fontId="45" fillId="0" borderId="0" xfId="22" applyNumberFormat="1" applyFont="1" applyFill="1" applyBorder="1" applyAlignment="1">
      <alignment horizontal="left" vertical="top"/>
    </xf>
    <xf numFmtId="9" fontId="45" fillId="0" borderId="0" xfId="22" applyNumberFormat="1" applyFont="1" applyFill="1" applyBorder="1" applyAlignment="1">
      <alignment horizontal="center" vertical="top"/>
    </xf>
    <xf numFmtId="0" fontId="44" fillId="2" borderId="0" xfId="22" applyFont="1" applyFill="1" applyBorder="1" applyAlignment="1">
      <alignment horizontal="left" vertical="top"/>
    </xf>
    <xf numFmtId="0" fontId="46" fillId="0" borderId="0" xfId="22" applyFont="1" applyFill="1" applyBorder="1" applyAlignment="1">
      <alignment horizontal="center" vertical="top"/>
    </xf>
    <xf numFmtId="166" fontId="44" fillId="0" borderId="0" xfId="22" applyNumberFormat="1" applyFont="1" applyFill="1" applyBorder="1" applyAlignment="1">
      <alignment horizontal="left" vertical="top"/>
    </xf>
    <xf numFmtId="180" fontId="47" fillId="0" borderId="0" xfId="22" applyNumberFormat="1" applyFont="1" applyFill="1" applyBorder="1" applyAlignment="1">
      <alignment horizontal="left" vertical="top" wrapText="1"/>
    </xf>
    <xf numFmtId="42" fontId="47" fillId="0" borderId="21" xfId="22" applyNumberFormat="1" applyFont="1" applyFill="1" applyBorder="1" applyAlignment="1">
      <alignment horizontal="left" vertical="top"/>
    </xf>
    <xf numFmtId="5" fontId="49" fillId="0" borderId="0" xfId="22" applyNumberFormat="1" applyFont="1" applyFill="1" applyBorder="1" applyAlignment="1">
      <alignment horizontal="center" vertical="top" wrapText="1"/>
    </xf>
    <xf numFmtId="9" fontId="49" fillId="0" borderId="0" xfId="22" applyNumberFormat="1" applyFont="1" applyFill="1" applyBorder="1" applyAlignment="1">
      <alignment horizontal="right" vertical="top"/>
    </xf>
    <xf numFmtId="9" fontId="49" fillId="0" borderId="0" xfId="22" applyNumberFormat="1" applyFont="1" applyFill="1" applyBorder="1" applyAlignment="1">
      <alignment horizontal="right" vertical="top" wrapText="1"/>
    </xf>
    <xf numFmtId="183" fontId="45" fillId="25" borderId="59" xfId="22" applyNumberFormat="1" applyFont="1" applyFill="1" applyBorder="1" applyAlignment="1" applyProtection="1">
      <alignment horizontal="center"/>
      <protection locked="0"/>
    </xf>
    <xf numFmtId="5" fontId="49" fillId="0" borderId="0" xfId="22" applyNumberFormat="1" applyFont="1" applyFill="1" applyBorder="1" applyAlignment="1">
      <alignment horizontal="left" vertical="top"/>
    </xf>
    <xf numFmtId="181" fontId="46" fillId="0" borderId="0" xfId="22" applyNumberFormat="1" applyFont="1" applyFill="1" applyBorder="1" applyAlignment="1">
      <alignment horizontal="left" vertical="top" wrapText="1"/>
    </xf>
    <xf numFmtId="0" fontId="0" fillId="17" borderId="0" xfId="0" applyFont="1" applyFill="1" applyBorder="1" applyAlignment="1">
      <alignment horizontal="left"/>
    </xf>
    <xf numFmtId="1" fontId="46" fillId="0" borderId="0" xfId="22" applyNumberFormat="1" applyFont="1" applyFill="1" applyBorder="1" applyAlignment="1">
      <alignment horizontal="left" vertical="top"/>
    </xf>
    <xf numFmtId="181" fontId="47" fillId="0" borderId="0" xfId="22" applyNumberFormat="1" applyFont="1" applyFill="1" applyBorder="1" applyAlignment="1">
      <alignment horizontal="left" vertical="top"/>
    </xf>
    <xf numFmtId="166" fontId="31" fillId="0" borderId="0" xfId="0" applyNumberFormat="1" applyFont="1"/>
    <xf numFmtId="9" fontId="0" fillId="19" borderId="0" xfId="2" applyFont="1" applyFill="1" applyBorder="1" applyAlignment="1">
      <alignment horizontal="center"/>
    </xf>
    <xf numFmtId="9" fontId="0" fillId="19" borderId="0" xfId="2" applyFont="1" applyFill="1" applyAlignment="1">
      <alignment horizontal="center"/>
    </xf>
    <xf numFmtId="9" fontId="0" fillId="4" borderId="0" xfId="2" applyFont="1" applyFill="1" applyAlignment="1">
      <alignment horizontal="center"/>
    </xf>
    <xf numFmtId="9" fontId="0" fillId="4" borderId="0" xfId="2" applyFont="1" applyFill="1" applyBorder="1" applyAlignment="1">
      <alignment horizontal="center"/>
    </xf>
    <xf numFmtId="9" fontId="31" fillId="0" borderId="12" xfId="2" applyFont="1" applyBorder="1"/>
    <xf numFmtId="9" fontId="31" fillId="0" borderId="7" xfId="2" applyFont="1" applyBorder="1"/>
    <xf numFmtId="0" fontId="31" fillId="0" borderId="0" xfId="0" applyFont="1" applyFill="1" applyAlignment="1">
      <alignment horizontal="left" indent="1"/>
    </xf>
    <xf numFmtId="0" fontId="54" fillId="0" borderId="0" xfId="0" applyFont="1" applyAlignment="1">
      <alignment horizontal="center" wrapText="1"/>
    </xf>
    <xf numFmtId="9" fontId="0" fillId="17" borderId="0" xfId="0" applyNumberFormat="1" applyFont="1" applyFill="1" applyBorder="1" applyAlignment="1">
      <alignment horizontal="center"/>
    </xf>
    <xf numFmtId="184" fontId="31" fillId="0" borderId="0" xfId="0" applyNumberFormat="1" applyFont="1"/>
    <xf numFmtId="186" fontId="29" fillId="0" borderId="0" xfId="0" applyNumberFormat="1" applyFont="1" applyBorder="1" applyAlignment="1">
      <alignment horizontal="center"/>
    </xf>
    <xf numFmtId="164" fontId="29" fillId="0" borderId="0" xfId="1" applyNumberFormat="1" applyFont="1" applyBorder="1" applyAlignment="1">
      <alignment horizontal="center"/>
    </xf>
    <xf numFmtId="187" fontId="46" fillId="0" borderId="0" xfId="22" applyNumberFormat="1" applyFont="1" applyFill="1" applyBorder="1" applyAlignment="1">
      <alignment horizontal="right" vertical="top" wrapText="1"/>
    </xf>
    <xf numFmtId="9" fontId="49" fillId="0" borderId="0" xfId="22" applyNumberFormat="1" applyFont="1" applyFill="1" applyBorder="1" applyAlignment="1">
      <alignment horizontal="left" vertical="top"/>
    </xf>
    <xf numFmtId="0" fontId="56" fillId="0" borderId="0" xfId="22" applyFont="1" applyFill="1" applyBorder="1" applyAlignment="1">
      <alignment horizontal="left" vertical="top"/>
    </xf>
    <xf numFmtId="7" fontId="44" fillId="0" borderId="0" xfId="22" applyNumberFormat="1" applyFont="1" applyFill="1" applyBorder="1" applyAlignment="1">
      <alignment horizontal="left" vertical="top"/>
    </xf>
    <xf numFmtId="173" fontId="2" fillId="17" borderId="0" xfId="2" applyNumberFormat="1" applyFont="1" applyFill="1" applyBorder="1" applyAlignment="1">
      <alignment horizontal="right" indent="1"/>
    </xf>
    <xf numFmtId="0" fontId="0" fillId="17" borderId="0" xfId="0" applyFill="1" applyBorder="1" applyAlignment="1">
      <alignment horizontal="right" indent="1"/>
    </xf>
    <xf numFmtId="173" fontId="0" fillId="17" borderId="0" xfId="2" applyNumberFormat="1" applyFont="1" applyFill="1" applyBorder="1" applyAlignment="1">
      <alignment horizontal="right" indent="1"/>
    </xf>
    <xf numFmtId="38" fontId="2" fillId="17" borderId="0" xfId="0" applyNumberFormat="1" applyFont="1" applyFill="1" applyBorder="1" applyAlignment="1">
      <alignment horizontal="right" indent="1"/>
    </xf>
    <xf numFmtId="9" fontId="0" fillId="17" borderId="0" xfId="2" applyFont="1" applyFill="1" applyBorder="1" applyAlignment="1">
      <alignment horizontal="right" indent="1"/>
    </xf>
    <xf numFmtId="9" fontId="2" fillId="17" borderId="0" xfId="2" applyFont="1" applyFill="1" applyBorder="1" applyAlignment="1">
      <alignment horizontal="right" indent="1"/>
    </xf>
    <xf numFmtId="38" fontId="0" fillId="17" borderId="0" xfId="0" applyNumberFormat="1" applyFont="1" applyFill="1" applyBorder="1" applyAlignment="1">
      <alignment horizontal="right" indent="1"/>
    </xf>
    <xf numFmtId="9" fontId="1" fillId="17" borderId="0" xfId="2" applyFont="1" applyFill="1" applyBorder="1" applyAlignment="1">
      <alignment horizontal="right" indent="1"/>
    </xf>
    <xf numFmtId="9" fontId="0" fillId="0" borderId="5" xfId="0" applyNumberFormat="1" applyFont="1" applyBorder="1" applyAlignment="1">
      <alignment horizontal="center"/>
    </xf>
    <xf numFmtId="9" fontId="0" fillId="0" borderId="63" xfId="0" applyNumberFormat="1" applyFont="1" applyBorder="1" applyAlignment="1">
      <alignment horizontal="center"/>
    </xf>
    <xf numFmtId="9" fontId="23" fillId="0" borderId="64" xfId="0" applyNumberFormat="1" applyFont="1" applyBorder="1" applyAlignment="1">
      <alignment horizontal="center"/>
    </xf>
    <xf numFmtId="9" fontId="23" fillId="0" borderId="65" xfId="0" applyNumberFormat="1" applyFont="1" applyBorder="1" applyAlignment="1">
      <alignment horizontal="center"/>
    </xf>
    <xf numFmtId="38" fontId="2" fillId="0" borderId="5" xfId="0" applyNumberFormat="1" applyFont="1" applyBorder="1"/>
    <xf numFmtId="38" fontId="2" fillId="0" borderId="63" xfId="0" applyNumberFormat="1" applyFont="1" applyBorder="1"/>
    <xf numFmtId="176" fontId="2" fillId="0" borderId="5" xfId="0" applyNumberFormat="1" applyFont="1" applyFill="1" applyBorder="1" applyAlignment="1">
      <alignment horizontal="right" indent="1"/>
    </xf>
    <xf numFmtId="0" fontId="0" fillId="0" borderId="63" xfId="0" applyFont="1" applyBorder="1" applyAlignment="1">
      <alignment horizontal="left"/>
    </xf>
    <xf numFmtId="6" fontId="2" fillId="0" borderId="5" xfId="0" applyNumberFormat="1" applyFont="1" applyFill="1" applyBorder="1" applyAlignment="1">
      <alignment horizontal="right" indent="1"/>
    </xf>
    <xf numFmtId="173" fontId="2" fillId="0" borderId="63" xfId="2" applyNumberFormat="1" applyFont="1" applyBorder="1" applyAlignment="1">
      <alignment horizontal="right" indent="1"/>
    </xf>
    <xf numFmtId="0" fontId="0" fillId="0" borderId="5" xfId="0" applyFill="1" applyBorder="1" applyAlignment="1">
      <alignment horizontal="right" indent="1"/>
    </xf>
    <xf numFmtId="0" fontId="0" fillId="0" borderId="63" xfId="0" applyBorder="1" applyAlignment="1">
      <alignment horizontal="right" indent="1"/>
    </xf>
    <xf numFmtId="178" fontId="0" fillId="0" borderId="5" xfId="0" applyNumberFormat="1" applyFill="1" applyBorder="1" applyAlignment="1">
      <alignment horizontal="right" indent="1"/>
    </xf>
    <xf numFmtId="173" fontId="0" fillId="0" borderId="63" xfId="2" applyNumberFormat="1" applyFont="1" applyBorder="1" applyAlignment="1">
      <alignment horizontal="right" indent="1"/>
    </xf>
    <xf numFmtId="178" fontId="2" fillId="0" borderId="5" xfId="0" applyNumberFormat="1" applyFont="1" applyFill="1" applyBorder="1" applyAlignment="1">
      <alignment horizontal="right" indent="1"/>
    </xf>
    <xf numFmtId="178" fontId="0" fillId="0" borderId="5" xfId="0" applyNumberFormat="1" applyFont="1" applyFill="1" applyBorder="1" applyAlignment="1">
      <alignment horizontal="right" indent="1"/>
    </xf>
    <xf numFmtId="173" fontId="0" fillId="0" borderId="63" xfId="2" applyNumberFormat="1" applyFont="1" applyFill="1" applyBorder="1" applyAlignment="1">
      <alignment horizontal="right" indent="1"/>
    </xf>
    <xf numFmtId="173" fontId="2" fillId="0" borderId="63" xfId="2" applyNumberFormat="1" applyFont="1" applyFill="1" applyBorder="1" applyAlignment="1">
      <alignment horizontal="right" indent="1"/>
    </xf>
    <xf numFmtId="38" fontId="2" fillId="0" borderId="5" xfId="0" applyNumberFormat="1" applyFont="1" applyFill="1" applyBorder="1" applyAlignment="1">
      <alignment horizontal="right" indent="1"/>
    </xf>
    <xf numFmtId="38" fontId="2" fillId="0" borderId="63" xfId="0" applyNumberFormat="1" applyFont="1" applyBorder="1" applyAlignment="1">
      <alignment horizontal="right" indent="1"/>
    </xf>
    <xf numFmtId="6" fontId="0" fillId="0" borderId="63" xfId="0" applyNumberFormat="1" applyBorder="1" applyAlignment="1">
      <alignment horizontal="right" indent="1"/>
    </xf>
    <xf numFmtId="6" fontId="0" fillId="0" borderId="5" xfId="0" applyNumberFormat="1" applyFill="1" applyBorder="1" applyAlignment="1">
      <alignment horizontal="right" indent="1"/>
    </xf>
    <xf numFmtId="0" fontId="0" fillId="0" borderId="63" xfId="0" applyBorder="1"/>
    <xf numFmtId="178" fontId="0" fillId="0" borderId="66" xfId="0" applyNumberFormat="1" applyFill="1" applyBorder="1" applyAlignment="1">
      <alignment horizontal="right" indent="1"/>
    </xf>
    <xf numFmtId="38" fontId="0" fillId="0" borderId="5" xfId="0" applyNumberFormat="1" applyFont="1" applyFill="1" applyBorder="1" applyAlignment="1">
      <alignment horizontal="right" indent="1"/>
    </xf>
    <xf numFmtId="9" fontId="0" fillId="0" borderId="63" xfId="2" applyFont="1" applyBorder="1" applyAlignment="1">
      <alignment horizontal="right" indent="1"/>
    </xf>
    <xf numFmtId="9" fontId="2" fillId="0" borderId="63" xfId="2" applyFont="1" applyBorder="1" applyAlignment="1">
      <alignment horizontal="right" indent="1"/>
    </xf>
    <xf numFmtId="38" fontId="0" fillId="0" borderId="63" xfId="0" applyNumberFormat="1" applyFont="1" applyBorder="1" applyAlignment="1">
      <alignment horizontal="right" indent="1"/>
    </xf>
    <xf numFmtId="9" fontId="1" fillId="0" borderId="63" xfId="2" applyFont="1" applyBorder="1" applyAlignment="1">
      <alignment horizontal="right" indent="1"/>
    </xf>
    <xf numFmtId="9" fontId="2" fillId="0" borderId="27" xfId="2" applyFont="1" applyBorder="1"/>
    <xf numFmtId="9" fontId="2" fillId="0" borderId="67" xfId="2" applyFont="1" applyBorder="1"/>
    <xf numFmtId="0" fontId="55" fillId="0" borderId="0" xfId="0" applyFont="1" applyBorder="1"/>
    <xf numFmtId="181" fontId="45" fillId="0" borderId="0" xfId="22" applyNumberFormat="1" applyFont="1" applyFill="1" applyBorder="1" applyAlignment="1">
      <alignment horizontal="left" vertical="top" wrapText="1"/>
    </xf>
    <xf numFmtId="181" fontId="44" fillId="0" borderId="0" xfId="22" applyNumberFormat="1" applyFont="1" applyFill="1" applyBorder="1" applyAlignment="1">
      <alignment horizontal="left" vertical="top" wrapText="1"/>
    </xf>
    <xf numFmtId="181" fontId="46" fillId="0" borderId="0" xfId="22" applyNumberFormat="1" applyFont="1" applyFill="1" applyBorder="1" applyAlignment="1">
      <alignment horizontal="left" vertical="top"/>
    </xf>
    <xf numFmtId="181" fontId="0" fillId="0" borderId="0" xfId="0" applyNumberFormat="1"/>
    <xf numFmtId="181" fontId="47" fillId="0" borderId="0" xfId="22" applyNumberFormat="1" applyFont="1" applyFill="1" applyBorder="1" applyAlignment="1">
      <alignment horizontal="right" vertical="top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indent="1"/>
    </xf>
    <xf numFmtId="0" fontId="2" fillId="0" borderId="20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0" borderId="20" xfId="0" applyFont="1" applyFill="1" applyBorder="1"/>
    <xf numFmtId="0" fontId="23" fillId="0" borderId="25" xfId="0" applyFont="1" applyFill="1" applyBorder="1" applyAlignment="1">
      <alignment horizontal="left" indent="1"/>
    </xf>
    <xf numFmtId="17" fontId="2" fillId="0" borderId="25" xfId="0" quotePrefix="1" applyNumberFormat="1" applyFont="1" applyFill="1" applyBorder="1" applyAlignment="1">
      <alignment horizontal="center"/>
    </xf>
    <xf numFmtId="181" fontId="42" fillId="0" borderId="0" xfId="22" applyNumberFormat="1" applyFont="1" applyFill="1" applyBorder="1" applyAlignment="1">
      <alignment horizontal="left" vertical="top"/>
    </xf>
    <xf numFmtId="38" fontId="2" fillId="0" borderId="0" xfId="0" applyNumberFormat="1" applyFont="1"/>
    <xf numFmtId="177" fontId="2" fillId="0" borderId="0" xfId="0" applyNumberFormat="1" applyFont="1"/>
    <xf numFmtId="8" fontId="59" fillId="0" borderId="0" xfId="0" applyNumberFormat="1" applyFont="1"/>
    <xf numFmtId="0" fontId="0" fillId="0" borderId="20" xfId="0" applyFont="1" applyFill="1" applyBorder="1" applyAlignment="1">
      <alignment horizontal="left" indent="1"/>
    </xf>
    <xf numFmtId="185" fontId="0" fillId="0" borderId="0" xfId="0" applyNumberFormat="1"/>
    <xf numFmtId="9" fontId="45" fillId="0" borderId="0" xfId="2" applyFont="1" applyFill="1" applyBorder="1" applyAlignment="1">
      <alignment horizontal="right" vertical="top" wrapText="1"/>
    </xf>
    <xf numFmtId="0" fontId="0" fillId="0" borderId="1" xfId="0" applyFont="1" applyBorder="1" applyAlignment="1">
      <alignment horizontal="left" vertical="center"/>
    </xf>
    <xf numFmtId="37" fontId="0" fillId="0" borderId="1" xfId="26" applyNumberFormat="1" applyFont="1" applyBorder="1" applyAlignment="1">
      <alignment horizontal="right" indent="2"/>
    </xf>
    <xf numFmtId="185" fontId="0" fillId="0" borderId="1" xfId="0" applyNumberFormat="1" applyFont="1" applyFill="1" applyBorder="1" applyAlignment="1">
      <alignment horizontal="right" indent="2"/>
    </xf>
    <xf numFmtId="38" fontId="0" fillId="0" borderId="1" xfId="0" applyNumberFormat="1" applyFont="1" applyFill="1" applyBorder="1" applyAlignment="1">
      <alignment horizontal="right" indent="2"/>
    </xf>
    <xf numFmtId="9" fontId="0" fillId="0" borderId="1" xfId="2" applyFont="1" applyFill="1" applyBorder="1" applyAlignment="1">
      <alignment horizontal="right" indent="2"/>
    </xf>
    <xf numFmtId="177" fontId="0" fillId="0" borderId="20" xfId="0" applyNumberFormat="1" applyFont="1" applyFill="1" applyBorder="1" applyAlignment="1">
      <alignment horizontal="right" indent="2"/>
    </xf>
    <xf numFmtId="6" fontId="0" fillId="16" borderId="0" xfId="0" applyNumberFormat="1" applyFont="1" applyFill="1" applyBorder="1" applyAlignment="1">
      <alignment horizontal="right"/>
    </xf>
    <xf numFmtId="3" fontId="41" fillId="24" borderId="0" xfId="22" applyNumberFormat="1" applyFont="1" applyFill="1" applyBorder="1" applyAlignment="1">
      <alignment horizontal="center" vertical="top"/>
    </xf>
    <xf numFmtId="0" fontId="41" fillId="24" borderId="0" xfId="22" applyFont="1" applyFill="1" applyBorder="1" applyAlignment="1">
      <alignment horizontal="center" vertical="top"/>
    </xf>
    <xf numFmtId="177" fontId="0" fillId="0" borderId="1" xfId="0" applyNumberFormat="1" applyFont="1" applyFill="1" applyBorder="1" applyAlignment="1">
      <alignment horizontal="right" indent="2"/>
    </xf>
    <xf numFmtId="0" fontId="0" fillId="0" borderId="1" xfId="0" applyFont="1" applyFill="1" applyBorder="1" applyAlignment="1">
      <alignment horizontal="left"/>
    </xf>
    <xf numFmtId="9" fontId="0" fillId="17" borderId="0" xfId="0" applyNumberFormat="1" applyFont="1" applyFill="1" applyBorder="1" applyAlignment="1">
      <alignment horizontal="center"/>
    </xf>
    <xf numFmtId="3" fontId="41" fillId="24" borderId="0" xfId="22" applyNumberFormat="1" applyFont="1" applyFill="1" applyBorder="1" applyAlignment="1">
      <alignment horizontal="center" vertical="top"/>
    </xf>
    <xf numFmtId="38" fontId="2" fillId="27" borderId="3" xfId="0" applyNumberFormat="1" applyFont="1" applyFill="1" applyBorder="1" applyAlignment="1">
      <alignment horizontal="left"/>
    </xf>
    <xf numFmtId="6" fontId="2" fillId="27" borderId="1" xfId="0" applyNumberFormat="1" applyFont="1" applyFill="1" applyBorder="1" applyAlignment="1">
      <alignment horizontal="center"/>
    </xf>
    <xf numFmtId="38" fontId="2" fillId="27" borderId="1" xfId="0" applyNumberFormat="1" applyFont="1" applyFill="1" applyBorder="1" applyAlignment="1">
      <alignment horizontal="center"/>
    </xf>
    <xf numFmtId="38" fontId="2" fillId="27" borderId="2" xfId="0" applyNumberFormat="1" applyFont="1" applyFill="1" applyBorder="1" applyAlignment="1">
      <alignment horizontal="center"/>
    </xf>
    <xf numFmtId="38" fontId="2" fillId="27" borderId="12" xfId="0" applyNumberFormat="1" applyFont="1" applyFill="1" applyBorder="1" applyAlignment="1">
      <alignment horizontal="center"/>
    </xf>
    <xf numFmtId="38" fontId="2" fillId="27" borderId="2" xfId="0" applyNumberFormat="1" applyFont="1" applyFill="1" applyBorder="1" applyAlignment="1">
      <alignment horizontal="left"/>
    </xf>
    <xf numFmtId="38" fontId="2" fillId="27" borderId="4" xfId="0" applyNumberFormat="1" applyFont="1" applyFill="1" applyBorder="1" applyAlignment="1">
      <alignment horizontal="center"/>
    </xf>
    <xf numFmtId="38" fontId="0" fillId="27" borderId="0" xfId="0" applyNumberFormat="1" applyFont="1" applyFill="1" applyAlignment="1">
      <alignment horizontal="center"/>
    </xf>
    <xf numFmtId="9" fontId="0" fillId="27" borderId="4" xfId="2" applyFont="1" applyFill="1" applyBorder="1" applyAlignment="1">
      <alignment horizontal="center"/>
    </xf>
    <xf numFmtId="38" fontId="0" fillId="27" borderId="4" xfId="0" applyNumberFormat="1" applyFont="1" applyFill="1" applyBorder="1" applyAlignment="1">
      <alignment horizontal="center"/>
    </xf>
    <xf numFmtId="38" fontId="2" fillId="27" borderId="0" xfId="0" applyNumberFormat="1" applyFont="1" applyFill="1" applyAlignment="1">
      <alignment horizontal="left"/>
    </xf>
    <xf numFmtId="6" fontId="0" fillId="27" borderId="0" xfId="0" applyNumberFormat="1" applyFont="1" applyFill="1" applyAlignment="1">
      <alignment horizontal="center"/>
    </xf>
    <xf numFmtId="38" fontId="0" fillId="27" borderId="0" xfId="0" applyNumberFormat="1" applyFont="1" applyFill="1" applyBorder="1" applyAlignment="1">
      <alignment horizontal="center"/>
    </xf>
    <xf numFmtId="167" fontId="0" fillId="27" borderId="0" xfId="0" applyNumberFormat="1" applyFont="1" applyFill="1" applyBorder="1" applyAlignment="1">
      <alignment horizontal="center"/>
    </xf>
    <xf numFmtId="167" fontId="0" fillId="27" borderId="0" xfId="2" applyNumberFormat="1" applyFont="1" applyFill="1" applyAlignment="1">
      <alignment horizontal="center"/>
    </xf>
    <xf numFmtId="6" fontId="0" fillId="27" borderId="0" xfId="0" applyNumberFormat="1" applyFont="1" applyFill="1" applyBorder="1" applyAlignment="1">
      <alignment horizontal="center"/>
    </xf>
    <xf numFmtId="6" fontId="4" fillId="27" borderId="1" xfId="0" applyNumberFormat="1" applyFont="1" applyFill="1" applyBorder="1" applyAlignment="1">
      <alignment horizontal="center" wrapText="1"/>
    </xf>
    <xf numFmtId="38" fontId="4" fillId="27" borderId="1" xfId="0" applyNumberFormat="1" applyFont="1" applyFill="1" applyBorder="1" applyAlignment="1">
      <alignment horizontal="center" wrapText="1"/>
    </xf>
    <xf numFmtId="38" fontId="4" fillId="27" borderId="17" xfId="0" applyNumberFormat="1" applyFont="1" applyFill="1" applyBorder="1" applyAlignment="1">
      <alignment horizontal="center" wrapText="1"/>
    </xf>
    <xf numFmtId="43" fontId="0" fillId="27" borderId="1" xfId="0" applyNumberFormat="1" applyFont="1" applyFill="1" applyBorder="1" applyAlignment="1">
      <alignment horizontal="center" vertical="center"/>
    </xf>
    <xf numFmtId="6" fontId="0" fillId="27" borderId="1" xfId="0" applyNumberFormat="1" applyFont="1" applyFill="1" applyBorder="1" applyAlignment="1">
      <alignment horizontal="left" vertical="center"/>
    </xf>
    <xf numFmtId="9" fontId="0" fillId="27" borderId="1" xfId="2" applyFont="1" applyFill="1" applyBorder="1" applyAlignment="1">
      <alignment horizontal="center" vertical="center"/>
    </xf>
    <xf numFmtId="169" fontId="0" fillId="27" borderId="1" xfId="0" applyNumberFormat="1" applyFont="1" applyFill="1" applyBorder="1" applyAlignment="1">
      <alignment horizontal="center" vertical="center"/>
    </xf>
    <xf numFmtId="169" fontId="0" fillId="27" borderId="17" xfId="0" applyNumberFormat="1" applyFont="1" applyFill="1" applyBorder="1" applyAlignment="1">
      <alignment horizontal="center" vertical="center"/>
    </xf>
    <xf numFmtId="38" fontId="0" fillId="27" borderId="1" xfId="0" applyNumberFormat="1" applyFont="1" applyFill="1" applyBorder="1" applyAlignment="1">
      <alignment horizontal="center" vertical="center"/>
    </xf>
    <xf numFmtId="6" fontId="0" fillId="2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7" xfId="0" applyFont="1" applyFill="1" applyBorder="1" applyAlignment="1">
      <alignment horizontal="center"/>
    </xf>
    <xf numFmtId="177" fontId="23" fillId="0" borderId="25" xfId="0" applyNumberFormat="1" applyFont="1" applyFill="1" applyBorder="1" applyAlignment="1">
      <alignment horizontal="center"/>
    </xf>
    <xf numFmtId="9" fontId="0" fillId="17" borderId="14" xfId="0" applyNumberFormat="1" applyFont="1" applyFill="1" applyBorder="1" applyAlignment="1">
      <alignment horizontal="center"/>
    </xf>
    <xf numFmtId="38" fontId="2" fillId="17" borderId="45" xfId="0" applyNumberFormat="1" applyFont="1" applyFill="1" applyBorder="1" applyAlignment="1">
      <alignment horizontal="center" wrapText="1"/>
    </xf>
    <xf numFmtId="38" fontId="2" fillId="17" borderId="46" xfId="0" applyNumberFormat="1" applyFont="1" applyFill="1" applyBorder="1" applyAlignment="1">
      <alignment horizontal="center" wrapText="1"/>
    </xf>
    <xf numFmtId="9" fontId="0" fillId="17" borderId="47" xfId="0" applyNumberFormat="1" applyFont="1" applyFill="1" applyBorder="1" applyAlignment="1">
      <alignment horizontal="center" wrapText="1"/>
    </xf>
    <xf numFmtId="9" fontId="0" fillId="17" borderId="48" xfId="0" applyNumberFormat="1" applyFont="1" applyFill="1" applyBorder="1" applyAlignment="1">
      <alignment horizontal="center" wrapText="1"/>
    </xf>
    <xf numFmtId="9" fontId="0" fillId="17" borderId="0" xfId="0" applyNumberFormat="1" applyFont="1" applyFill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9" fontId="0" fillId="0" borderId="63" xfId="0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9" fontId="0" fillId="17" borderId="47" xfId="0" applyNumberFormat="1" applyFont="1" applyFill="1" applyBorder="1" applyAlignment="1">
      <alignment horizontal="center"/>
    </xf>
    <xf numFmtId="9" fontId="0" fillId="17" borderId="48" xfId="0" applyNumberFormat="1" applyFont="1" applyFill="1" applyBorder="1" applyAlignment="1">
      <alignment horizontal="center"/>
    </xf>
    <xf numFmtId="0" fontId="2" fillId="17" borderId="45" xfId="0" applyFont="1" applyFill="1" applyBorder="1" applyAlignment="1">
      <alignment horizontal="center" wrapText="1"/>
    </xf>
    <xf numFmtId="0" fontId="2" fillId="17" borderId="46" xfId="0" applyFont="1" applyFill="1" applyBorder="1" applyAlignment="1">
      <alignment horizontal="center" wrapText="1"/>
    </xf>
    <xf numFmtId="9" fontId="0" fillId="17" borderId="0" xfId="0" applyNumberFormat="1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0" fillId="17" borderId="47" xfId="0" applyFont="1" applyFill="1" applyBorder="1" applyAlignment="1">
      <alignment horizontal="center" wrapText="1"/>
    </xf>
    <xf numFmtId="0" fontId="0" fillId="17" borderId="48" xfId="0" applyFont="1" applyFill="1" applyBorder="1" applyAlignment="1">
      <alignment horizontal="center" wrapText="1"/>
    </xf>
    <xf numFmtId="0" fontId="0" fillId="17" borderId="47" xfId="0" applyFont="1" applyFill="1" applyBorder="1" applyAlignment="1">
      <alignment horizontal="center"/>
    </xf>
    <xf numFmtId="0" fontId="0" fillId="17" borderId="48" xfId="0" applyFont="1" applyFill="1" applyBorder="1" applyAlignment="1">
      <alignment horizontal="center"/>
    </xf>
    <xf numFmtId="0" fontId="2" fillId="0" borderId="61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63" xfId="0" applyFont="1" applyFill="1" applyBorder="1" applyAlignment="1">
      <alignment horizontal="center" wrapText="1"/>
    </xf>
    <xf numFmtId="9" fontId="0" fillId="0" borderId="5" xfId="0" applyNumberFormat="1" applyFont="1" applyBorder="1" applyAlignment="1">
      <alignment horizontal="center" wrapText="1"/>
    </xf>
    <xf numFmtId="9" fontId="0" fillId="0" borderId="63" xfId="0" applyNumberFormat="1" applyFont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3" fontId="41" fillId="24" borderId="0" xfId="22" applyNumberFormat="1" applyFont="1" applyFill="1" applyBorder="1" applyAlignment="1">
      <alignment horizontal="center" vertical="top"/>
    </xf>
    <xf numFmtId="0" fontId="41" fillId="24" borderId="60" xfId="22" applyFont="1" applyFill="1" applyBorder="1" applyAlignment="1">
      <alignment horizontal="center" vertical="top"/>
    </xf>
    <xf numFmtId="0" fontId="41" fillId="24" borderId="0" xfId="22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7" fillId="0" borderId="0" xfId="3" applyProtection="1"/>
    <xf numFmtId="0" fontId="9" fillId="0" borderId="0" xfId="3" applyFont="1" applyFill="1" applyAlignment="1" applyProtection="1">
      <alignment horizontal="center" vertical="center"/>
    </xf>
    <xf numFmtId="0" fontId="7" fillId="0" borderId="5" xfId="3" applyBorder="1" applyProtection="1"/>
    <xf numFmtId="0" fontId="7" fillId="0" borderId="6" xfId="3" applyBorder="1" applyProtection="1"/>
    <xf numFmtId="0" fontId="9" fillId="8" borderId="1" xfId="3" applyFont="1" applyFill="1" applyBorder="1" applyAlignment="1" applyProtection="1">
      <alignment vertical="center"/>
    </xf>
    <xf numFmtId="0" fontId="7" fillId="0" borderId="0" xfId="3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</xf>
    <xf numFmtId="0" fontId="10" fillId="5" borderId="8" xfId="3" applyFont="1" applyFill="1" applyBorder="1" applyAlignment="1" applyProtection="1">
      <alignment horizontal="center" vertical="center" wrapText="1"/>
    </xf>
    <xf numFmtId="0" fontId="11" fillId="5" borderId="9" xfId="3" applyFont="1" applyFill="1" applyBorder="1" applyAlignment="1" applyProtection="1">
      <alignment horizontal="center" vertical="center" wrapText="1"/>
    </xf>
    <xf numFmtId="0" fontId="7" fillId="0" borderId="0" xfId="3" applyFont="1" applyAlignment="1" applyProtection="1">
      <alignment horizontal="center" vertical="center" wrapText="1"/>
    </xf>
    <xf numFmtId="0" fontId="9" fillId="5" borderId="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9" fillId="0" borderId="11" xfId="3" applyFont="1" applyFill="1" applyBorder="1" applyAlignment="1" applyProtection="1">
      <alignment horizontal="center" vertical="center" wrapText="1"/>
    </xf>
    <xf numFmtId="3" fontId="9" fillId="9" borderId="12" xfId="3" applyNumberFormat="1" applyFont="1" applyFill="1" applyBorder="1" applyAlignment="1" applyProtection="1">
      <alignment horizontal="right"/>
    </xf>
    <xf numFmtId="3" fontId="9" fillId="9" borderId="13" xfId="3" applyNumberFormat="1" applyFont="1" applyFill="1" applyBorder="1" applyAlignment="1" applyProtection="1">
      <alignment horizontal="right" wrapText="1"/>
    </xf>
    <xf numFmtId="3" fontId="9" fillId="9" borderId="12" xfId="3" applyNumberFormat="1" applyFont="1" applyFill="1" applyBorder="1" applyAlignment="1" applyProtection="1">
      <alignment horizontal="center"/>
    </xf>
    <xf numFmtId="164" fontId="9" fillId="10" borderId="7" xfId="4" applyNumberFormat="1" applyFont="1" applyFill="1" applyBorder="1" applyAlignment="1" applyProtection="1">
      <alignment horizontal="center"/>
    </xf>
    <xf numFmtId="3" fontId="9" fillId="9" borderId="14" xfId="3" applyNumberFormat="1" applyFont="1" applyFill="1" applyBorder="1" applyAlignment="1" applyProtection="1">
      <alignment horizontal="right" wrapText="1"/>
    </xf>
    <xf numFmtId="3" fontId="9" fillId="9" borderId="15" xfId="3" applyNumberFormat="1" applyFont="1" applyFill="1" applyBorder="1" applyAlignment="1" applyProtection="1">
      <alignment horizontal="right"/>
    </xf>
    <xf numFmtId="164" fontId="9" fillId="9" borderId="16" xfId="4" applyNumberFormat="1" applyFont="1" applyFill="1" applyBorder="1" applyAlignment="1" applyProtection="1">
      <alignment horizontal="center"/>
    </xf>
    <xf numFmtId="3" fontId="9" fillId="9" borderId="17" xfId="5" applyNumberFormat="1" applyFont="1" applyFill="1" applyBorder="1" applyAlignment="1" applyProtection="1">
      <alignment horizontal="center" wrapText="1"/>
    </xf>
    <xf numFmtId="3" fontId="9" fillId="9" borderId="7" xfId="3" applyNumberFormat="1" applyFont="1" applyFill="1" applyBorder="1" applyAlignment="1" applyProtection="1">
      <alignment horizontal="center" wrapText="1"/>
    </xf>
    <xf numFmtId="0" fontId="7" fillId="0" borderId="0" xfId="3" applyNumberFormat="1" applyProtection="1"/>
    <xf numFmtId="164" fontId="9" fillId="9" borderId="18" xfId="4" applyNumberFormat="1" applyFont="1" applyFill="1" applyBorder="1" applyAlignment="1" applyProtection="1">
      <alignment horizontal="right" wrapText="1"/>
    </xf>
    <xf numFmtId="3" fontId="9" fillId="9" borderId="18" xfId="3" applyNumberFormat="1" applyFont="1" applyFill="1" applyBorder="1" applyAlignment="1" applyProtection="1">
      <alignment horizontal="right" wrapText="1"/>
    </xf>
    <xf numFmtId="3" fontId="9" fillId="9" borderId="0" xfId="3" applyNumberFormat="1" applyFont="1" applyFill="1" applyBorder="1" applyAlignment="1" applyProtection="1">
      <alignment horizontal="right" wrapText="1"/>
    </xf>
    <xf numFmtId="0" fontId="9" fillId="0" borderId="17" xfId="3" applyFont="1" applyFill="1" applyBorder="1" applyAlignment="1" applyProtection="1">
      <alignment horizontal="center" wrapText="1"/>
    </xf>
    <xf numFmtId="0" fontId="9" fillId="0" borderId="12" xfId="3" applyFont="1" applyFill="1" applyBorder="1" applyAlignment="1" applyProtection="1">
      <alignment horizontal="center" wrapText="1"/>
    </xf>
    <xf numFmtId="166" fontId="7" fillId="5" borderId="7" xfId="3" applyNumberFormat="1" applyFill="1" applyBorder="1" applyProtection="1"/>
    <xf numFmtId="0" fontId="9" fillId="0" borderId="0" xfId="3" applyFont="1" applyFill="1" applyBorder="1" applyAlignment="1" applyProtection="1">
      <alignment horizontal="center" wrapText="1"/>
    </xf>
    <xf numFmtId="166" fontId="7" fillId="0" borderId="6" xfId="3" applyNumberFormat="1" applyBorder="1" applyProtection="1"/>
    <xf numFmtId="0" fontId="7" fillId="0" borderId="12" xfId="3" applyBorder="1" applyProtection="1"/>
    <xf numFmtId="166" fontId="0" fillId="0" borderId="17" xfId="6" applyNumberFormat="1" applyFont="1" applyBorder="1" applyProtection="1"/>
    <xf numFmtId="166" fontId="0" fillId="0" borderId="0" xfId="6" applyNumberFormat="1" applyFont="1" applyBorder="1" applyProtection="1"/>
  </cellXfs>
  <cellStyles count="33">
    <cellStyle name="Comma" xfId="1" builtinId="3"/>
    <cellStyle name="Comma 2" xfId="4"/>
    <cellStyle name="Comma 2 2" xfId="17"/>
    <cellStyle name="Comma 3" xfId="10"/>
    <cellStyle name="Comma 3 2" xfId="13"/>
    <cellStyle name="Comma 4" xfId="26"/>
    <cellStyle name="Currency [0] 2" xfId="28"/>
    <cellStyle name="Currency 2" xfId="6"/>
    <cellStyle name="Currency 2 2" xfId="15"/>
    <cellStyle name="Currency 2 2 2" xfId="18"/>
    <cellStyle name="Currency 3" xfId="11"/>
    <cellStyle name="Currency 4" xfId="27"/>
    <cellStyle name="Currency 5" xfId="32"/>
    <cellStyle name="Good 2" xfId="30"/>
    <cellStyle name="Normal" xfId="0" builtinId="0"/>
    <cellStyle name="Normal 2" xfId="3"/>
    <cellStyle name="Normal 2 2" xfId="14"/>
    <cellStyle name="Normal 2 4" xfId="20"/>
    <cellStyle name="Normal 3" xfId="5"/>
    <cellStyle name="Normal 3 2" xfId="31"/>
    <cellStyle name="Normal 4" xfId="8"/>
    <cellStyle name="Normal 4 2" xfId="12"/>
    <cellStyle name="Normal 5" xfId="21"/>
    <cellStyle name="Normal 6" xfId="22"/>
    <cellStyle name="Normal 7" xfId="24"/>
    <cellStyle name="Normal 8" xfId="25"/>
    <cellStyle name="Percent" xfId="2" builtinId="5"/>
    <cellStyle name="Percent 2" xfId="7"/>
    <cellStyle name="Percent 2 2" xfId="19"/>
    <cellStyle name="Percent 3" xfId="9"/>
    <cellStyle name="Percent 4" xfId="16"/>
    <cellStyle name="Percent 5" xfId="23"/>
    <cellStyle name="Percent 6" xfId="29"/>
  </cellStyles>
  <dxfs count="6">
    <dxf>
      <font>
        <strike/>
      </font>
    </dxf>
    <dxf>
      <font>
        <strike val="0"/>
      </font>
    </dxf>
    <dxf>
      <font>
        <strike/>
      </font>
    </dxf>
    <dxf>
      <font>
        <strike val="0"/>
      </font>
    </dxf>
    <dxf>
      <font>
        <strike/>
      </font>
    </dxf>
    <dxf>
      <font>
        <strike val="0"/>
      </font>
    </dxf>
  </dxfs>
  <tableStyles count="0" defaultTableStyle="TableStyleMedium2" defaultPivotStyle="PivotStyleLight16"/>
  <colors>
    <mruColors>
      <color rgb="FFFF7C80"/>
      <color rgb="FF000000"/>
      <color rgb="FFC6C606"/>
      <color rgb="FF996633"/>
      <color rgb="FFFFFF99"/>
      <color rgb="FF008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SubsidyComparisonGraphic!$G$33</c:f>
              <c:strCache>
                <c:ptCount val="1"/>
                <c:pt idx="0">
                  <c:v>Value Based on Net Rent (50% AMI)*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SubsidyComparisonGraphic!$K$32:$L$32</c:f>
              <c:strCache>
                <c:ptCount val="2"/>
                <c:pt idx="0">
                  <c:v>Inclusionary Unit</c:v>
                </c:pt>
                <c:pt idx="1">
                  <c:v>LIHTC Unit</c:v>
                </c:pt>
              </c:strCache>
            </c:strRef>
          </c:cat>
          <c:val>
            <c:numRef>
              <c:f>SubsidyComparisonGraphic!$K$33:$L$33</c:f>
              <c:numCache>
                <c:formatCode>_("$"* #,"K"_);_("$"* \(#,##0\);_("$"* "-"??_);_(@_)</c:formatCode>
                <c:ptCount val="2"/>
                <c:pt idx="0">
                  <c:v>64924.799999999996</c:v>
                </c:pt>
                <c:pt idx="1">
                  <c:v>64924.799999999996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6-48F3-90DC-5281EA05F759}"/>
            </c:ext>
          </c:extLst>
        </c:ser>
        <c:ser>
          <c:idx val="1"/>
          <c:order val="1"/>
          <c:tx>
            <c:strRef>
              <c:f>SubsidyComparisonGraphic!$G$34</c:f>
              <c:strCache>
                <c:ptCount val="1"/>
                <c:pt idx="0">
                  <c:v>Federal/State Subsidies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D9-4FD4-B00A-73A1990F1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SubsidyComparisonGraphic!$K$32:$L$32</c:f>
              <c:strCache>
                <c:ptCount val="2"/>
                <c:pt idx="0">
                  <c:v>Inclusionary Unit</c:v>
                </c:pt>
                <c:pt idx="1">
                  <c:v>LIHTC Unit</c:v>
                </c:pt>
              </c:strCache>
            </c:strRef>
          </c:cat>
          <c:val>
            <c:numRef>
              <c:f>SubsidyComparisonGraphic!$K$34:$L$34</c:f>
              <c:numCache>
                <c:formatCode>_("$"* #,"K"_);_("$"* \(#,##0\);_("$"* "-"??_);_(@_)</c:formatCode>
                <c:ptCount val="2"/>
                <c:pt idx="0">
                  <c:v>0</c:v>
                </c:pt>
                <c:pt idx="1">
                  <c:v>233133.85366946791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D9-4FD4-B00A-73A1990F11DC}"/>
            </c:ext>
          </c:extLst>
        </c:ser>
        <c:ser>
          <c:idx val="2"/>
          <c:order val="2"/>
          <c:tx>
            <c:strRef>
              <c:f>SubsidyComparisonGraphic!$G$35</c:f>
              <c:strCache>
                <c:ptCount val="1"/>
                <c:pt idx="0">
                  <c:v>Local Gap Subsidy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SubsidyComparisonGraphic!$K$32:$L$32</c:f>
              <c:strCache>
                <c:ptCount val="2"/>
                <c:pt idx="0">
                  <c:v>Inclusionary Unit</c:v>
                </c:pt>
                <c:pt idx="1">
                  <c:v>LIHTC Unit</c:v>
                </c:pt>
              </c:strCache>
            </c:strRef>
          </c:cat>
          <c:val>
            <c:numRef>
              <c:f>SubsidyComparisonGraphic!$K$35:$L$35</c:f>
              <c:numCache>
                <c:formatCode>_("$"* #,"K"_);_("$"* \(#,##0\);_("$"* "-"??_);_(@_)</c:formatCode>
                <c:ptCount val="2"/>
                <c:pt idx="0">
                  <c:v>530437.43300970877</c:v>
                </c:pt>
                <c:pt idx="1">
                  <c:v>297303.57934024092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D9-4FD4-B00A-73A1990F1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543232"/>
        <c:axId val="260544768"/>
      </c:barChart>
      <c:catAx>
        <c:axId val="26054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544768"/>
        <c:crosses val="autoZero"/>
        <c:auto val="1"/>
        <c:lblAlgn val="ctr"/>
        <c:lblOffset val="100"/>
        <c:noMultiLvlLbl val="0"/>
      </c:catAx>
      <c:valAx>
        <c:axId val="2605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&quot;K&quot;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54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SubsidyComparisonGraphic!$G$33</c:f>
              <c:strCache>
                <c:ptCount val="1"/>
                <c:pt idx="0">
                  <c:v>Value Based on Net Rent (50% AMI)*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SubsidyComparisonGraphic!$H$32:$I$32</c:f>
              <c:strCache>
                <c:ptCount val="2"/>
                <c:pt idx="0">
                  <c:v>Inclusionary Unit</c:v>
                </c:pt>
                <c:pt idx="1">
                  <c:v>LIHTC Unit</c:v>
                </c:pt>
              </c:strCache>
            </c:strRef>
          </c:cat>
          <c:val>
            <c:numRef>
              <c:f>SubsidyComparisonGraphic!$H$33:$I$33</c:f>
              <c:numCache>
                <c:formatCode>_("$"* #,"K"_);_("$"* \(#,##0\);_("$"* "-"??_);_(@_)</c:formatCode>
                <c:ptCount val="2"/>
                <c:pt idx="0">
                  <c:v>108618.71999999999</c:v>
                </c:pt>
                <c:pt idx="1">
                  <c:v>108618.71999999999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8-41CF-9D1C-474C91D3EF46}"/>
            </c:ext>
          </c:extLst>
        </c:ser>
        <c:ser>
          <c:idx val="1"/>
          <c:order val="1"/>
          <c:tx>
            <c:strRef>
              <c:f>SubsidyComparisonGraphic!$G$34</c:f>
              <c:strCache>
                <c:ptCount val="1"/>
                <c:pt idx="0">
                  <c:v>Federal/State Subsidies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18-41CF-9D1C-474C91D3EF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SubsidyComparisonGraphic!$H$32:$I$32</c:f>
              <c:strCache>
                <c:ptCount val="2"/>
                <c:pt idx="0">
                  <c:v>Inclusionary Unit</c:v>
                </c:pt>
                <c:pt idx="1">
                  <c:v>LIHTC Unit</c:v>
                </c:pt>
              </c:strCache>
            </c:strRef>
          </c:cat>
          <c:val>
            <c:numRef>
              <c:f>SubsidyComparisonGraphic!$H$34:$I$34</c:f>
              <c:numCache>
                <c:formatCode>_("$"* #,"K"_);_("$"* \(#,##0\);_("$"* "-"??_);_(@_)</c:formatCode>
                <c:ptCount val="2"/>
                <c:pt idx="0">
                  <c:v>0</c:v>
                </c:pt>
                <c:pt idx="1">
                  <c:v>233133.85366946791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8-41CF-9D1C-474C91D3EF46}"/>
            </c:ext>
          </c:extLst>
        </c:ser>
        <c:ser>
          <c:idx val="2"/>
          <c:order val="2"/>
          <c:tx>
            <c:strRef>
              <c:f>SubsidyComparisonGraphic!$G$35</c:f>
              <c:strCache>
                <c:ptCount val="1"/>
                <c:pt idx="0">
                  <c:v>Local Gap Subsidy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SubsidyComparisonGraphic!$H$32:$I$32</c:f>
              <c:strCache>
                <c:ptCount val="2"/>
                <c:pt idx="0">
                  <c:v>Inclusionary Unit</c:v>
                </c:pt>
                <c:pt idx="1">
                  <c:v>LIHTC Unit</c:v>
                </c:pt>
              </c:strCache>
            </c:strRef>
          </c:cat>
          <c:val>
            <c:numRef>
              <c:f>SubsidyComparisonGraphic!$H$35:$I$35</c:f>
              <c:numCache>
                <c:formatCode>_("$"* #,"K"_);_("$"* \(#,##0\);_("$"* "-"??_);_(@_)</c:formatCode>
                <c:ptCount val="2"/>
                <c:pt idx="0">
                  <c:v>358133.85366946791</c:v>
                </c:pt>
                <c:pt idx="1">
                  <c:v>125000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8-41CF-9D1C-474C91D3E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916736"/>
        <c:axId val="260918272"/>
      </c:barChart>
      <c:catAx>
        <c:axId val="2609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918272"/>
        <c:crosses val="autoZero"/>
        <c:auto val="1"/>
        <c:lblAlgn val="ctr"/>
        <c:lblOffset val="100"/>
        <c:noMultiLvlLbl val="0"/>
      </c:catAx>
      <c:valAx>
        <c:axId val="26091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&quot;K&quot;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916736"/>
        <c:crosses val="autoZero"/>
        <c:crossBetween val="between"/>
        <c:majorUnit val="100000"/>
        <c:min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37</xdr:row>
      <xdr:rowOff>190500</xdr:rowOff>
    </xdr:from>
    <xdr:to>
      <xdr:col>21</xdr:col>
      <xdr:colOff>249174</xdr:colOff>
      <xdr:row>60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B584A1-75A2-476A-B6B4-1A7720A36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57152</xdr:colOff>
      <xdr:row>37</xdr:row>
      <xdr:rowOff>142875</xdr:rowOff>
    </xdr:from>
    <xdr:to>
      <xdr:col>10</xdr:col>
      <xdr:colOff>759382</xdr:colOff>
      <xdr:row>59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9F5C65-E48E-4A06-9674-C5E3EE14E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0.12584</cdr:x>
      <cdr:y>0.14059</cdr:y>
    </cdr:from>
    <cdr:to>
      <cdr:x>0.97001</cdr:x>
      <cdr:y>0.14059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DE84F82-A841-45F8-AE82-595D841E65E4}"/>
            </a:ext>
          </a:extLst>
        </cdr:cNvPr>
        <cdr:cNvCxnSpPr/>
      </cdr:nvCxnSpPr>
      <cdr:spPr>
        <a:xfrm xmlns:a="http://schemas.openxmlformats.org/drawingml/2006/main">
          <a:off x="685800" y="650825"/>
          <a:ext cx="4600575" cy="0"/>
        </a:xfrm>
        <a:prstGeom xmlns:a="http://schemas.openxmlformats.org/drawingml/2006/main" prst="line">
          <a:avLst/>
        </a:prstGeom>
        <a:ln xmlns:a="http://schemas.openxmlformats.org/drawingml/2006/main" w="254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0.11492</cdr:x>
      <cdr:y>0.0823</cdr:y>
    </cdr:from>
    <cdr:to>
      <cdr:x>0.97442</cdr:x>
      <cdr:y>0.14283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EAAF8E2-29A8-4960-A3E6-3326322B3A49}"/>
            </a:ext>
          </a:extLst>
        </cdr:cNvPr>
        <cdr:cNvSpPr txBox="1"/>
      </cdr:nvSpPr>
      <cdr:spPr>
        <a:xfrm xmlns:a="http://schemas.openxmlformats.org/drawingml/2006/main">
          <a:off x="626294" y="380992"/>
          <a:ext cx="4684124" cy="2802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0" dirty="0">
              <a:solidFill>
                <a:schemeClr val="accent1"/>
              </a:solidFill>
            </a:rPr>
            <a:t>Total Development Cost = $595k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0.12628</cdr:x>
      <cdr:y>0.08093</cdr:y>
    </cdr:from>
    <cdr:to>
      <cdr:x>0.9725</cdr:x>
      <cdr:y>0.08442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DE84F82-A841-45F8-AE82-595D841E65E4}"/>
            </a:ext>
          </a:extLst>
        </cdr:cNvPr>
        <cdr:cNvCxnSpPr/>
      </cdr:nvCxnSpPr>
      <cdr:spPr>
        <a:xfrm xmlns:a="http://schemas.openxmlformats.org/drawingml/2006/main">
          <a:off x="687685" y="374640"/>
          <a:ext cx="4608244" cy="16156"/>
        </a:xfrm>
        <a:prstGeom xmlns:a="http://schemas.openxmlformats.org/drawingml/2006/main" prst="line">
          <a:avLst/>
        </a:prstGeom>
        <a:ln xmlns:a="http://schemas.openxmlformats.org/drawingml/2006/main" w="254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0.12244</cdr:x>
      <cdr:y>0.0247</cdr:y>
    </cdr:from>
    <cdr:to>
      <cdr:x>0.97425</cdr:x>
      <cdr:y>0.08523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EAAF8E2-29A8-4960-A3E6-3326322B3A49}"/>
            </a:ext>
          </a:extLst>
        </cdr:cNvPr>
        <cdr:cNvSpPr txBox="1"/>
      </cdr:nvSpPr>
      <cdr:spPr>
        <a:xfrm xmlns:a="http://schemas.openxmlformats.org/drawingml/2006/main">
          <a:off x="666769" y="114332"/>
          <a:ext cx="4638685" cy="2802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0" dirty="0">
              <a:solidFill>
                <a:schemeClr val="accent1"/>
              </a:solidFill>
            </a:rPr>
            <a:t>Total Development Cost = $467k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Lake%20County%20Tables%206-21-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Broad%20taxable%20sales%20comaprison%206-20-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a-server3\hcd\My%20Documents\2001%20NOFA%20Staff%20Rpt\Matrices%20for%20Rp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Antioch%20Tables%209-2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Assump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ONT_TAB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TOT%20Revenu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Police%20Costs%20November%20Draft%201112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belmont%20taxable%20s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san%20jose%20far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Twin%20Cities%20Collaboration_2016/resources%20and%20data%20and%20policies%20in%20region/pro%20formas/Multifamily%20Workbook_Carver%20Crossing%20Carryover%20(1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Users/rjacobus/Dropbox/MyFiles/Clients/Berkeley/Adeline/BAE/1999-2004%20Housing%20Production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klandca-my.sharepoint.com/J/1949-Berkeley%20Nexus%20Study/Tables%20and%20Data/Berkeley%20Nexus%20Study%20Tables%2010%2003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100000"/>
      <sheetName val="M1000000"/>
      <sheetName val="Allcheck"/>
      <sheetName val="All year"/>
      <sheetName val="100K-250K"/>
      <sheetName val="K250_K500"/>
      <sheetName val="K500_K1000"/>
      <sheetName val="Not operated entire year"/>
      <sheetName val="F3 Taxable Sales Compared"/>
      <sheetName val="ZBP_100_249"/>
      <sheetName val="ZBP_1_4"/>
      <sheetName val="ZBP_10_19"/>
      <sheetName val="ZBP_20_49"/>
      <sheetName val="ZBP_5_9"/>
      <sheetName val="ZBP_50_99"/>
      <sheetName val="ZBP_To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"/>
      <sheetName val="1-4-02"/>
      <sheetName val="matrix II"/>
    </sheetNames>
    <sheetDataSet>
      <sheetData sheetId="0" refreshError="1"/>
      <sheetData sheetId="1" refreshError="1"/>
      <sheetData sheetId="2">
        <row r="5">
          <cell r="C5">
            <v>0.58132530120481929</v>
          </cell>
          <cell r="D5">
            <v>0.58132530120481929</v>
          </cell>
          <cell r="E5">
            <v>0.63253012048192769</v>
          </cell>
          <cell r="F5">
            <v>0.86021505376344087</v>
          </cell>
          <cell r="G5">
            <v>0.76881720430107525</v>
          </cell>
          <cell r="I5" t="str">
            <v>Total Score</v>
          </cell>
          <cell r="K5">
            <v>0.77419354838709675</v>
          </cell>
          <cell r="L5">
            <v>0.64183673469387759</v>
          </cell>
          <cell r="M5">
            <v>0.63775510204081631</v>
          </cell>
          <cell r="N5">
            <v>0.65816326530612246</v>
          </cell>
          <cell r="O5">
            <v>0.71938775510204078</v>
          </cell>
          <cell r="P5">
            <v>0.45</v>
          </cell>
          <cell r="Q5">
            <v>0.51020408163265307</v>
          </cell>
          <cell r="R5">
            <v>0.64247311827956988</v>
          </cell>
          <cell r="S5">
            <v>0.68817204301075274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er data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 Tax Allo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Lis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 by Yea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l Time Per Bea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y_by_Tax_by_Yea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JOS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ntrols"/>
      <sheetName val="Tables"/>
      <sheetName val="WorksheetsTabs"/>
      <sheetName val="SummaryTabControlsValues"/>
      <sheetName val="Intro"/>
      <sheetName val="Instructions"/>
      <sheetName val="Summary"/>
      <sheetName val="Affirmative Action"/>
      <sheetName val="HTC Owner Cert"/>
      <sheetName val="Project Description"/>
      <sheetName val="Property Information"/>
      <sheetName val="Housing Income"/>
      <sheetName val="Income &amp; Expense"/>
      <sheetName val="Mortgage Calc"/>
      <sheetName val="Cash Flow"/>
      <sheetName val="Development Costs"/>
      <sheetName val="Sources"/>
      <sheetName val="HTC Info"/>
      <sheetName val="Determination of Credit"/>
      <sheetName val="Development Team"/>
      <sheetName val="Identity of Interest"/>
      <sheetName val="Buildings"/>
      <sheetName val="Preservation"/>
    </sheetNames>
    <sheetDataSet>
      <sheetData sheetId="0" refreshError="1"/>
      <sheetData sheetId="1">
        <row r="41">
          <cell r="BF4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al Analysis&gt;"/>
      <sheetName val="Rents - RS Units"/>
      <sheetName val="Rents - New"/>
      <sheetName val="Income to Rent - All"/>
      <sheetName val="Rental Affordability - Upper"/>
      <sheetName val="Rental Affordability - Mid"/>
      <sheetName val="Income to Rent - New"/>
      <sheetName val="Employment"/>
      <sheetName val="Empl and HH by Inc-New Rental"/>
      <sheetName val="For Sale Analysis&gt;"/>
      <sheetName val="Median Home Sales"/>
      <sheetName val="For-Sale Affordability"/>
      <sheetName val="Income to Buy - New"/>
      <sheetName val="Empl and HH by Inc-New Condo"/>
      <sheetName val="Fee Calc-New"/>
      <sheetName val="Replacement Analysis&gt;"/>
      <sheetName val="Income to Rent - Rent Cont"/>
      <sheetName val="Empl and HH by Inc-Rent Control"/>
      <sheetName val="Net HHs by Inc,rnt cntrl rebild"/>
      <sheetName val="Fee Calc-Rebuild"/>
      <sheetName val="Feasibility&gt;&gt;"/>
      <sheetName val="Inclusionary Cost - Rent"/>
      <sheetName val="Inclusionary Cost - For Sale"/>
      <sheetName val="Appendices"/>
      <sheetName val="Rents - New (Detail)"/>
      <sheetName val="B.4 Income by Industry"/>
      <sheetName val="Student Spending"/>
      <sheetName val="Expenditures"/>
      <sheetName val="Data&gt;"/>
      <sheetName val="RB_New"/>
      <sheetName val="RB_New_2013"/>
      <sheetName val="TCAC Application Data"/>
      <sheetName val="RB_All"/>
      <sheetName val="Income limits"/>
      <sheetName val="Inc Limits"/>
      <sheetName val="DataQuick"/>
      <sheetName val="RealFacts"/>
      <sheetName val="B25002"/>
      <sheetName val="B25003"/>
      <sheetName val="B25004"/>
      <sheetName val="Weighted Avg Rents"/>
      <sheetName val="Imp Detail for  Emp-new rental"/>
      <sheetName val="Imp Detail for Emp-New Condo"/>
      <sheetName val="Imp Detail for  Emp-Rent Cntrol"/>
      <sheetName val="2007 IMPLAN 2007 NA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6">
          <cell r="A6">
            <v>1</v>
          </cell>
          <cell r="B6" t="str">
            <v>11, 21-22</v>
          </cell>
        </row>
        <row r="7">
          <cell r="A7">
            <v>2</v>
          </cell>
          <cell r="B7" t="str">
            <v>11, 21-22</v>
          </cell>
        </row>
        <row r="8">
          <cell r="A8">
            <v>3</v>
          </cell>
          <cell r="B8" t="str">
            <v>11, 21-22</v>
          </cell>
        </row>
        <row r="9">
          <cell r="A9">
            <v>4</v>
          </cell>
          <cell r="B9" t="str">
            <v>11, 21-22</v>
          </cell>
        </row>
        <row r="10">
          <cell r="A10">
            <v>5</v>
          </cell>
          <cell r="B10" t="str">
            <v>11, 21-22</v>
          </cell>
        </row>
        <row r="11">
          <cell r="A11">
            <v>6</v>
          </cell>
          <cell r="B11" t="str">
            <v>11, 21-22</v>
          </cell>
        </row>
        <row r="12">
          <cell r="A12">
            <v>7</v>
          </cell>
          <cell r="B12" t="str">
            <v>11, 21-22</v>
          </cell>
        </row>
        <row r="13">
          <cell r="A13">
            <v>8</v>
          </cell>
          <cell r="B13" t="str">
            <v>11, 21-22</v>
          </cell>
        </row>
        <row r="14">
          <cell r="A14">
            <v>9</v>
          </cell>
          <cell r="B14" t="str">
            <v>11, 21-22</v>
          </cell>
        </row>
        <row r="15">
          <cell r="A15">
            <v>10</v>
          </cell>
          <cell r="B15" t="str">
            <v>11, 21-22</v>
          </cell>
        </row>
        <row r="16">
          <cell r="A16">
            <v>11</v>
          </cell>
          <cell r="B16" t="str">
            <v>11, 21-22</v>
          </cell>
        </row>
        <row r="17">
          <cell r="A17">
            <v>12</v>
          </cell>
          <cell r="B17" t="str">
            <v>11, 21-22</v>
          </cell>
        </row>
        <row r="18">
          <cell r="A18">
            <v>13</v>
          </cell>
          <cell r="B18" t="str">
            <v>11, 21-22</v>
          </cell>
        </row>
        <row r="19">
          <cell r="A19">
            <v>14</v>
          </cell>
          <cell r="B19" t="str">
            <v>11, 21-22</v>
          </cell>
        </row>
        <row r="20">
          <cell r="A20">
            <v>15</v>
          </cell>
          <cell r="B20" t="str">
            <v>11, 21-22</v>
          </cell>
        </row>
        <row r="21">
          <cell r="A21">
            <v>16</v>
          </cell>
          <cell r="B21" t="str">
            <v>11, 21-22</v>
          </cell>
        </row>
        <row r="22">
          <cell r="A22">
            <v>17</v>
          </cell>
          <cell r="B22" t="str">
            <v>11, 21-22</v>
          </cell>
        </row>
        <row r="23">
          <cell r="A23">
            <v>18</v>
          </cell>
          <cell r="B23" t="str">
            <v>11, 21-22</v>
          </cell>
        </row>
        <row r="24">
          <cell r="A24">
            <v>19</v>
          </cell>
          <cell r="B24" t="str">
            <v>11, 21-22</v>
          </cell>
        </row>
        <row r="25">
          <cell r="A25">
            <v>20</v>
          </cell>
          <cell r="B25" t="str">
            <v>11, 21-22</v>
          </cell>
        </row>
        <row r="26">
          <cell r="A26">
            <v>21</v>
          </cell>
          <cell r="B26" t="str">
            <v>11, 21-22</v>
          </cell>
        </row>
        <row r="27">
          <cell r="A27">
            <v>22</v>
          </cell>
          <cell r="B27" t="str">
            <v>11, 21-22</v>
          </cell>
        </row>
        <row r="28">
          <cell r="A28">
            <v>23</v>
          </cell>
          <cell r="B28" t="str">
            <v>11, 21-22</v>
          </cell>
        </row>
        <row r="29">
          <cell r="A29">
            <v>24</v>
          </cell>
          <cell r="B29" t="str">
            <v>11, 21-22</v>
          </cell>
        </row>
        <row r="30">
          <cell r="A30">
            <v>25</v>
          </cell>
          <cell r="B30" t="str">
            <v>11, 21-22</v>
          </cell>
        </row>
        <row r="31">
          <cell r="A31">
            <v>26</v>
          </cell>
          <cell r="B31" t="str">
            <v>11, 21-22</v>
          </cell>
        </row>
        <row r="32">
          <cell r="A32">
            <v>27</v>
          </cell>
          <cell r="B32" t="str">
            <v>11, 21-22</v>
          </cell>
        </row>
        <row r="33">
          <cell r="A33">
            <v>28</v>
          </cell>
          <cell r="B33" t="str">
            <v>11, 21-22</v>
          </cell>
        </row>
        <row r="34">
          <cell r="A34">
            <v>29</v>
          </cell>
          <cell r="B34" t="str">
            <v>11, 21-22</v>
          </cell>
        </row>
        <row r="35">
          <cell r="A35">
            <v>30</v>
          </cell>
          <cell r="B35" t="str">
            <v>11, 21-22</v>
          </cell>
        </row>
        <row r="36">
          <cell r="A36">
            <v>31</v>
          </cell>
          <cell r="B36" t="str">
            <v>48-49,22</v>
          </cell>
        </row>
        <row r="37">
          <cell r="A37">
            <v>32</v>
          </cell>
          <cell r="B37" t="str">
            <v>48-49,22</v>
          </cell>
        </row>
        <row r="38">
          <cell r="A38">
            <v>33</v>
          </cell>
          <cell r="B38" t="str">
            <v>48-49,22</v>
          </cell>
        </row>
        <row r="39">
          <cell r="A39">
            <v>34</v>
          </cell>
          <cell r="B39">
            <v>23</v>
          </cell>
        </row>
        <row r="40">
          <cell r="A40">
            <v>35</v>
          </cell>
          <cell r="B40">
            <v>23</v>
          </cell>
        </row>
        <row r="41">
          <cell r="A41">
            <v>36</v>
          </cell>
          <cell r="B41">
            <v>23</v>
          </cell>
        </row>
        <row r="42">
          <cell r="A42">
            <v>37</v>
          </cell>
          <cell r="B42">
            <v>23</v>
          </cell>
        </row>
        <row r="43">
          <cell r="A43">
            <v>38</v>
          </cell>
          <cell r="B43">
            <v>23</v>
          </cell>
        </row>
        <row r="44">
          <cell r="A44">
            <v>39</v>
          </cell>
          <cell r="B44">
            <v>23</v>
          </cell>
        </row>
        <row r="45">
          <cell r="A45">
            <v>40</v>
          </cell>
          <cell r="B45">
            <v>23</v>
          </cell>
        </row>
        <row r="46">
          <cell r="A46">
            <v>319</v>
          </cell>
          <cell r="B46">
            <v>42</v>
          </cell>
        </row>
        <row r="47">
          <cell r="A47">
            <v>332</v>
          </cell>
          <cell r="B47" t="str">
            <v>48-49,22</v>
          </cell>
        </row>
        <row r="48">
          <cell r="A48">
            <v>333</v>
          </cell>
          <cell r="B48" t="str">
            <v>48-49,22</v>
          </cell>
        </row>
        <row r="49">
          <cell r="A49">
            <v>334</v>
          </cell>
          <cell r="B49" t="str">
            <v>48-49,22</v>
          </cell>
        </row>
        <row r="50">
          <cell r="A50">
            <v>335</v>
          </cell>
          <cell r="B50" t="str">
            <v>48-49,22</v>
          </cell>
        </row>
        <row r="51">
          <cell r="A51">
            <v>336</v>
          </cell>
          <cell r="B51" t="str">
            <v>48-49,22</v>
          </cell>
        </row>
        <row r="52">
          <cell r="A52">
            <v>337</v>
          </cell>
          <cell r="B52" t="str">
            <v>48-49,22</v>
          </cell>
        </row>
        <row r="53">
          <cell r="A53">
            <v>338</v>
          </cell>
          <cell r="B53" t="str">
            <v>48-49,22</v>
          </cell>
        </row>
        <row r="54">
          <cell r="A54">
            <v>339</v>
          </cell>
          <cell r="B54" t="str">
            <v>48-49,22</v>
          </cell>
        </row>
        <row r="55">
          <cell r="A55">
            <v>340</v>
          </cell>
          <cell r="B55" t="str">
            <v>48-49,22</v>
          </cell>
        </row>
        <row r="56">
          <cell r="A56">
            <v>427</v>
          </cell>
          <cell r="B56" t="str">
            <v>48-49,22</v>
          </cell>
        </row>
        <row r="57">
          <cell r="A57">
            <v>341</v>
          </cell>
          <cell r="B57">
            <v>51</v>
          </cell>
        </row>
        <row r="58">
          <cell r="A58">
            <v>342</v>
          </cell>
          <cell r="B58">
            <v>51</v>
          </cell>
        </row>
        <row r="59">
          <cell r="A59">
            <v>343</v>
          </cell>
          <cell r="B59">
            <v>51</v>
          </cell>
        </row>
        <row r="60">
          <cell r="A60">
            <v>344</v>
          </cell>
          <cell r="B60">
            <v>51</v>
          </cell>
        </row>
        <row r="61">
          <cell r="A61">
            <v>345</v>
          </cell>
          <cell r="B61">
            <v>51</v>
          </cell>
        </row>
        <row r="62">
          <cell r="A62">
            <v>346</v>
          </cell>
          <cell r="B62">
            <v>51</v>
          </cell>
        </row>
        <row r="63">
          <cell r="A63">
            <v>347</v>
          </cell>
          <cell r="B63">
            <v>51</v>
          </cell>
        </row>
        <row r="64">
          <cell r="A64">
            <v>348</v>
          </cell>
          <cell r="B64">
            <v>51</v>
          </cell>
        </row>
        <row r="65">
          <cell r="A65">
            <v>349</v>
          </cell>
          <cell r="B65">
            <v>51</v>
          </cell>
        </row>
        <row r="66">
          <cell r="A66">
            <v>350</v>
          </cell>
          <cell r="B66">
            <v>51</v>
          </cell>
        </row>
        <row r="67">
          <cell r="A67">
            <v>351</v>
          </cell>
          <cell r="B67">
            <v>51</v>
          </cell>
        </row>
        <row r="68">
          <cell r="A68">
            <v>352</v>
          </cell>
          <cell r="B68">
            <v>51</v>
          </cell>
        </row>
        <row r="69">
          <cell r="A69">
            <v>353</v>
          </cell>
          <cell r="B69">
            <v>51</v>
          </cell>
        </row>
        <row r="70">
          <cell r="A70">
            <v>354</v>
          </cell>
          <cell r="B70">
            <v>52</v>
          </cell>
        </row>
        <row r="71">
          <cell r="A71">
            <v>355</v>
          </cell>
          <cell r="B71">
            <v>52</v>
          </cell>
        </row>
        <row r="72">
          <cell r="A72">
            <v>356</v>
          </cell>
          <cell r="B72">
            <v>52</v>
          </cell>
        </row>
        <row r="73">
          <cell r="A73">
            <v>357</v>
          </cell>
          <cell r="B73">
            <v>52</v>
          </cell>
        </row>
        <row r="74">
          <cell r="A74">
            <v>358</v>
          </cell>
          <cell r="B74">
            <v>52</v>
          </cell>
        </row>
        <row r="75">
          <cell r="A75">
            <v>359</v>
          </cell>
          <cell r="B75">
            <v>52</v>
          </cell>
        </row>
        <row r="76">
          <cell r="A76">
            <v>360</v>
          </cell>
          <cell r="B76">
            <v>53</v>
          </cell>
        </row>
        <row r="77">
          <cell r="A77">
            <v>362</v>
          </cell>
          <cell r="B77">
            <v>53</v>
          </cell>
        </row>
        <row r="78">
          <cell r="A78">
            <v>363</v>
          </cell>
          <cell r="B78">
            <v>53</v>
          </cell>
        </row>
        <row r="79">
          <cell r="A79">
            <v>364</v>
          </cell>
          <cell r="B79">
            <v>53</v>
          </cell>
        </row>
        <row r="80">
          <cell r="A80">
            <v>365</v>
          </cell>
          <cell r="B80">
            <v>53</v>
          </cell>
        </row>
        <row r="81">
          <cell r="A81">
            <v>366</v>
          </cell>
          <cell r="B81">
            <v>53</v>
          </cell>
        </row>
        <row r="82">
          <cell r="A82">
            <v>382</v>
          </cell>
          <cell r="B82">
            <v>56</v>
          </cell>
        </row>
        <row r="83">
          <cell r="A83">
            <v>383</v>
          </cell>
          <cell r="B83">
            <v>56</v>
          </cell>
        </row>
        <row r="84">
          <cell r="A84">
            <v>384</v>
          </cell>
          <cell r="B84">
            <v>56</v>
          </cell>
        </row>
        <row r="85">
          <cell r="A85">
            <v>385</v>
          </cell>
          <cell r="B85">
            <v>56</v>
          </cell>
        </row>
        <row r="86">
          <cell r="A86">
            <v>386</v>
          </cell>
          <cell r="B86">
            <v>56</v>
          </cell>
        </row>
        <row r="87">
          <cell r="A87">
            <v>387</v>
          </cell>
          <cell r="B87">
            <v>56</v>
          </cell>
        </row>
        <row r="88">
          <cell r="A88">
            <v>388</v>
          </cell>
          <cell r="B88">
            <v>56</v>
          </cell>
        </row>
        <row r="89">
          <cell r="A89">
            <v>389</v>
          </cell>
          <cell r="B89">
            <v>56</v>
          </cell>
        </row>
        <row r="90">
          <cell r="A90">
            <v>390</v>
          </cell>
          <cell r="B90">
            <v>56</v>
          </cell>
        </row>
        <row r="91">
          <cell r="A91">
            <v>391</v>
          </cell>
          <cell r="B91">
            <v>61</v>
          </cell>
        </row>
        <row r="92">
          <cell r="A92">
            <v>392</v>
          </cell>
          <cell r="B92">
            <v>61</v>
          </cell>
        </row>
        <row r="93">
          <cell r="A93">
            <v>393</v>
          </cell>
          <cell r="B93">
            <v>61</v>
          </cell>
        </row>
        <row r="94">
          <cell r="A94">
            <v>394</v>
          </cell>
          <cell r="B94">
            <v>62</v>
          </cell>
        </row>
        <row r="95">
          <cell r="A95">
            <v>395</v>
          </cell>
          <cell r="B95">
            <v>62</v>
          </cell>
        </row>
        <row r="96">
          <cell r="A96">
            <v>396</v>
          </cell>
          <cell r="B96">
            <v>62</v>
          </cell>
        </row>
        <row r="97">
          <cell r="A97">
            <v>397</v>
          </cell>
          <cell r="B97">
            <v>62</v>
          </cell>
        </row>
        <row r="98">
          <cell r="A98">
            <v>398</v>
          </cell>
          <cell r="B98">
            <v>62</v>
          </cell>
        </row>
        <row r="99">
          <cell r="A99">
            <v>399</v>
          </cell>
          <cell r="B99">
            <v>62</v>
          </cell>
        </row>
        <row r="100">
          <cell r="A100">
            <v>400</v>
          </cell>
          <cell r="B100">
            <v>62</v>
          </cell>
        </row>
        <row r="101">
          <cell r="A101">
            <v>401</v>
          </cell>
          <cell r="B101">
            <v>62</v>
          </cell>
        </row>
        <row r="102">
          <cell r="A102">
            <v>414</v>
          </cell>
          <cell r="B102">
            <v>81</v>
          </cell>
        </row>
        <row r="103">
          <cell r="A103">
            <v>415</v>
          </cell>
          <cell r="B103">
            <v>81</v>
          </cell>
        </row>
        <row r="104">
          <cell r="A104">
            <v>416</v>
          </cell>
          <cell r="B104">
            <v>81</v>
          </cell>
        </row>
        <row r="105">
          <cell r="A105">
            <v>417</v>
          </cell>
          <cell r="B105">
            <v>81</v>
          </cell>
        </row>
        <row r="106">
          <cell r="A106">
            <v>418</v>
          </cell>
          <cell r="B106">
            <v>81</v>
          </cell>
        </row>
        <row r="107">
          <cell r="A107">
            <v>419</v>
          </cell>
          <cell r="B107">
            <v>81</v>
          </cell>
        </row>
        <row r="108">
          <cell r="A108">
            <v>420</v>
          </cell>
          <cell r="B108">
            <v>81</v>
          </cell>
        </row>
        <row r="109">
          <cell r="A109">
            <v>421</v>
          </cell>
          <cell r="B109">
            <v>81</v>
          </cell>
        </row>
        <row r="110">
          <cell r="A110">
            <v>422</v>
          </cell>
          <cell r="B110">
            <v>81</v>
          </cell>
        </row>
        <row r="111">
          <cell r="A111">
            <v>423</v>
          </cell>
          <cell r="B111">
            <v>81</v>
          </cell>
        </row>
        <row r="112">
          <cell r="A112">
            <v>424</v>
          </cell>
          <cell r="B112">
            <v>81</v>
          </cell>
        </row>
        <row r="113">
          <cell r="A113">
            <v>425</v>
          </cell>
          <cell r="B113">
            <v>81</v>
          </cell>
        </row>
        <row r="114">
          <cell r="A114">
            <v>426</v>
          </cell>
          <cell r="B114">
            <v>81</v>
          </cell>
        </row>
        <row r="115">
          <cell r="A115">
            <v>41</v>
          </cell>
          <cell r="B115" t="str">
            <v>31-33</v>
          </cell>
        </row>
        <row r="116">
          <cell r="A116">
            <v>42</v>
          </cell>
          <cell r="B116" t="str">
            <v>31-33</v>
          </cell>
        </row>
        <row r="117">
          <cell r="A117">
            <v>43</v>
          </cell>
          <cell r="B117" t="str">
            <v>31-33</v>
          </cell>
        </row>
        <row r="118">
          <cell r="A118">
            <v>44</v>
          </cell>
          <cell r="B118" t="str">
            <v>31-33</v>
          </cell>
        </row>
        <row r="119">
          <cell r="A119">
            <v>45</v>
          </cell>
          <cell r="B119" t="str">
            <v>31-33</v>
          </cell>
        </row>
        <row r="120">
          <cell r="A120">
            <v>46</v>
          </cell>
          <cell r="B120" t="str">
            <v>31-33</v>
          </cell>
        </row>
        <row r="121">
          <cell r="A121">
            <v>47</v>
          </cell>
          <cell r="B121" t="str">
            <v>31-33</v>
          </cell>
        </row>
        <row r="122">
          <cell r="A122">
            <v>48</v>
          </cell>
          <cell r="B122" t="str">
            <v>31-33</v>
          </cell>
        </row>
        <row r="123">
          <cell r="A123">
            <v>49</v>
          </cell>
          <cell r="B123" t="str">
            <v>31-33</v>
          </cell>
        </row>
        <row r="124">
          <cell r="A124">
            <v>50</v>
          </cell>
          <cell r="B124" t="str">
            <v>31-33</v>
          </cell>
        </row>
        <row r="125">
          <cell r="A125">
            <v>51</v>
          </cell>
          <cell r="B125" t="str">
            <v>31-33</v>
          </cell>
        </row>
        <row r="126">
          <cell r="A126">
            <v>52</v>
          </cell>
          <cell r="B126" t="str">
            <v>31-33</v>
          </cell>
        </row>
        <row r="127">
          <cell r="A127">
            <v>53</v>
          </cell>
          <cell r="B127" t="str">
            <v>31-33</v>
          </cell>
        </row>
        <row r="128">
          <cell r="A128">
            <v>54</v>
          </cell>
          <cell r="B128" t="str">
            <v>31-33</v>
          </cell>
        </row>
        <row r="129">
          <cell r="A129">
            <v>55</v>
          </cell>
          <cell r="B129" t="str">
            <v>31-33</v>
          </cell>
        </row>
        <row r="130">
          <cell r="A130">
            <v>56</v>
          </cell>
          <cell r="B130" t="str">
            <v>31-33</v>
          </cell>
        </row>
        <row r="131">
          <cell r="A131">
            <v>57</v>
          </cell>
          <cell r="B131" t="str">
            <v>31-33</v>
          </cell>
        </row>
        <row r="132">
          <cell r="A132">
            <v>58</v>
          </cell>
          <cell r="B132" t="str">
            <v>31-33</v>
          </cell>
        </row>
        <row r="133">
          <cell r="A133">
            <v>59</v>
          </cell>
          <cell r="B133" t="str">
            <v>31-33</v>
          </cell>
        </row>
        <row r="134">
          <cell r="A134">
            <v>60</v>
          </cell>
          <cell r="B134" t="str">
            <v>31-33</v>
          </cell>
        </row>
        <row r="135">
          <cell r="A135">
            <v>61</v>
          </cell>
          <cell r="B135" t="str">
            <v>31-33</v>
          </cell>
        </row>
        <row r="136">
          <cell r="A136">
            <v>62</v>
          </cell>
          <cell r="B136" t="str">
            <v>31-33</v>
          </cell>
        </row>
        <row r="137">
          <cell r="A137">
            <v>63</v>
          </cell>
          <cell r="B137" t="str">
            <v>31-33</v>
          </cell>
        </row>
        <row r="138">
          <cell r="A138">
            <v>64</v>
          </cell>
          <cell r="B138" t="str">
            <v>31-33</v>
          </cell>
        </row>
        <row r="139">
          <cell r="A139">
            <v>65</v>
          </cell>
          <cell r="B139" t="str">
            <v>31-33</v>
          </cell>
        </row>
        <row r="140">
          <cell r="A140">
            <v>66</v>
          </cell>
          <cell r="B140" t="str">
            <v>31-33</v>
          </cell>
        </row>
        <row r="141">
          <cell r="A141">
            <v>67</v>
          </cell>
          <cell r="B141" t="str">
            <v>31-33</v>
          </cell>
        </row>
        <row r="142">
          <cell r="A142">
            <v>68</v>
          </cell>
          <cell r="B142" t="str">
            <v>31-33</v>
          </cell>
        </row>
        <row r="143">
          <cell r="A143">
            <v>69</v>
          </cell>
          <cell r="B143" t="str">
            <v>31-33</v>
          </cell>
        </row>
        <row r="144">
          <cell r="A144">
            <v>70</v>
          </cell>
          <cell r="B144" t="str">
            <v>31-33</v>
          </cell>
        </row>
        <row r="145">
          <cell r="A145">
            <v>71</v>
          </cell>
          <cell r="B145" t="str">
            <v>31-33</v>
          </cell>
        </row>
        <row r="146">
          <cell r="A146">
            <v>72</v>
          </cell>
          <cell r="B146" t="str">
            <v>31-33</v>
          </cell>
        </row>
        <row r="147">
          <cell r="A147">
            <v>73</v>
          </cell>
          <cell r="B147" t="str">
            <v>31-33</v>
          </cell>
        </row>
        <row r="148">
          <cell r="A148">
            <v>74</v>
          </cell>
          <cell r="B148" t="str">
            <v>31-33</v>
          </cell>
        </row>
        <row r="149">
          <cell r="A149">
            <v>75</v>
          </cell>
          <cell r="B149" t="str">
            <v>31-33</v>
          </cell>
        </row>
        <row r="150">
          <cell r="A150">
            <v>76</v>
          </cell>
          <cell r="B150" t="str">
            <v>31-33</v>
          </cell>
        </row>
        <row r="151">
          <cell r="A151">
            <v>77</v>
          </cell>
          <cell r="B151" t="str">
            <v>31-33</v>
          </cell>
        </row>
        <row r="152">
          <cell r="A152">
            <v>78</v>
          </cell>
          <cell r="B152" t="str">
            <v>31-33</v>
          </cell>
        </row>
        <row r="153">
          <cell r="A153">
            <v>79</v>
          </cell>
          <cell r="B153" t="str">
            <v>31-33</v>
          </cell>
        </row>
        <row r="154">
          <cell r="A154">
            <v>80</v>
          </cell>
          <cell r="B154" t="str">
            <v>31-33</v>
          </cell>
        </row>
        <row r="155">
          <cell r="A155">
            <v>81</v>
          </cell>
          <cell r="B155" t="str">
            <v>31-33</v>
          </cell>
        </row>
        <row r="156">
          <cell r="A156">
            <v>82</v>
          </cell>
          <cell r="B156" t="str">
            <v>31-33</v>
          </cell>
        </row>
        <row r="157">
          <cell r="A157">
            <v>83</v>
          </cell>
          <cell r="B157" t="str">
            <v>31-33</v>
          </cell>
        </row>
        <row r="158">
          <cell r="A158">
            <v>84</v>
          </cell>
          <cell r="B158" t="str">
            <v>31-33</v>
          </cell>
        </row>
        <row r="159">
          <cell r="A159">
            <v>85</v>
          </cell>
          <cell r="B159" t="str">
            <v>31-33</v>
          </cell>
        </row>
        <row r="160">
          <cell r="A160">
            <v>86</v>
          </cell>
          <cell r="B160" t="str">
            <v>31-33</v>
          </cell>
        </row>
        <row r="161">
          <cell r="A161">
            <v>87</v>
          </cell>
          <cell r="B161" t="str">
            <v>31-33</v>
          </cell>
        </row>
        <row r="162">
          <cell r="A162">
            <v>88</v>
          </cell>
          <cell r="B162" t="str">
            <v>31-33</v>
          </cell>
        </row>
        <row r="163">
          <cell r="A163">
            <v>89</v>
          </cell>
          <cell r="B163" t="str">
            <v>31-33</v>
          </cell>
        </row>
        <row r="164">
          <cell r="A164">
            <v>90</v>
          </cell>
          <cell r="B164" t="str">
            <v>31-33</v>
          </cell>
        </row>
        <row r="165">
          <cell r="A165">
            <v>91</v>
          </cell>
          <cell r="B165" t="str">
            <v>31-33</v>
          </cell>
        </row>
        <row r="166">
          <cell r="A166">
            <v>92</v>
          </cell>
          <cell r="B166" t="str">
            <v>31-33</v>
          </cell>
        </row>
        <row r="167">
          <cell r="A167">
            <v>93</v>
          </cell>
          <cell r="B167" t="str">
            <v>31-33</v>
          </cell>
        </row>
        <row r="168">
          <cell r="A168">
            <v>94</v>
          </cell>
          <cell r="B168" t="str">
            <v>31-33</v>
          </cell>
        </row>
        <row r="169">
          <cell r="A169">
            <v>95</v>
          </cell>
          <cell r="B169" t="str">
            <v>31-33</v>
          </cell>
        </row>
        <row r="170">
          <cell r="A170">
            <v>96</v>
          </cell>
          <cell r="B170" t="str">
            <v>31-33</v>
          </cell>
        </row>
        <row r="171">
          <cell r="A171">
            <v>97</v>
          </cell>
          <cell r="B171" t="str">
            <v>31-33</v>
          </cell>
        </row>
        <row r="172">
          <cell r="A172">
            <v>98</v>
          </cell>
          <cell r="B172" t="str">
            <v>31-33</v>
          </cell>
        </row>
        <row r="173">
          <cell r="A173">
            <v>99</v>
          </cell>
          <cell r="B173" t="str">
            <v>31-33</v>
          </cell>
        </row>
        <row r="174">
          <cell r="A174">
            <v>100</v>
          </cell>
          <cell r="B174" t="str">
            <v>31-33</v>
          </cell>
        </row>
        <row r="175">
          <cell r="A175">
            <v>101</v>
          </cell>
          <cell r="B175" t="str">
            <v>31-33</v>
          </cell>
        </row>
        <row r="176">
          <cell r="A176">
            <v>102</v>
          </cell>
          <cell r="B176" t="str">
            <v>31-33</v>
          </cell>
        </row>
        <row r="177">
          <cell r="A177">
            <v>103</v>
          </cell>
          <cell r="B177" t="str">
            <v>31-33</v>
          </cell>
        </row>
        <row r="178">
          <cell r="A178">
            <v>104</v>
          </cell>
          <cell r="B178" t="str">
            <v>31-33</v>
          </cell>
        </row>
        <row r="179">
          <cell r="A179">
            <v>105</v>
          </cell>
          <cell r="B179" t="str">
            <v>31-33</v>
          </cell>
        </row>
        <row r="180">
          <cell r="A180">
            <v>106</v>
          </cell>
          <cell r="B180" t="str">
            <v>31-33</v>
          </cell>
        </row>
        <row r="181">
          <cell r="A181">
            <v>107</v>
          </cell>
          <cell r="B181" t="str">
            <v>31-33</v>
          </cell>
        </row>
        <row r="182">
          <cell r="A182">
            <v>108</v>
          </cell>
          <cell r="B182" t="str">
            <v>31-33</v>
          </cell>
        </row>
        <row r="183">
          <cell r="A183">
            <v>109</v>
          </cell>
          <cell r="B183" t="str">
            <v>31-33</v>
          </cell>
        </row>
        <row r="184">
          <cell r="A184">
            <v>110</v>
          </cell>
          <cell r="B184" t="str">
            <v>31-33</v>
          </cell>
        </row>
        <row r="185">
          <cell r="A185">
            <v>111</v>
          </cell>
          <cell r="B185" t="str">
            <v>31-33</v>
          </cell>
        </row>
        <row r="186">
          <cell r="A186">
            <v>112</v>
          </cell>
          <cell r="B186" t="str">
            <v>31-33</v>
          </cell>
        </row>
        <row r="187">
          <cell r="A187">
            <v>113</v>
          </cell>
          <cell r="B187" t="str">
            <v>31-33</v>
          </cell>
        </row>
        <row r="188">
          <cell r="A188">
            <v>114</v>
          </cell>
          <cell r="B188" t="str">
            <v>31-33</v>
          </cell>
        </row>
        <row r="189">
          <cell r="A189">
            <v>115</v>
          </cell>
          <cell r="B189" t="str">
            <v>31-33</v>
          </cell>
        </row>
        <row r="190">
          <cell r="A190">
            <v>116</v>
          </cell>
          <cell r="B190" t="str">
            <v>31-33</v>
          </cell>
        </row>
        <row r="191">
          <cell r="A191">
            <v>117</v>
          </cell>
          <cell r="B191" t="str">
            <v>31-33</v>
          </cell>
        </row>
        <row r="192">
          <cell r="A192">
            <v>118</v>
          </cell>
          <cell r="B192" t="str">
            <v>31-33</v>
          </cell>
        </row>
        <row r="193">
          <cell r="A193">
            <v>119</v>
          </cell>
          <cell r="B193" t="str">
            <v>31-33</v>
          </cell>
        </row>
        <row r="194">
          <cell r="A194">
            <v>120</v>
          </cell>
          <cell r="B194" t="str">
            <v>31-33</v>
          </cell>
        </row>
        <row r="195">
          <cell r="A195">
            <v>121</v>
          </cell>
          <cell r="B195" t="str">
            <v>31-33</v>
          </cell>
        </row>
        <row r="196">
          <cell r="A196">
            <v>122</v>
          </cell>
          <cell r="B196" t="str">
            <v>31-33</v>
          </cell>
        </row>
        <row r="197">
          <cell r="A197">
            <v>123</v>
          </cell>
          <cell r="B197" t="str">
            <v>31-33</v>
          </cell>
        </row>
        <row r="198">
          <cell r="A198">
            <v>124</v>
          </cell>
          <cell r="B198" t="str">
            <v>31-33</v>
          </cell>
        </row>
        <row r="199">
          <cell r="A199">
            <v>125</v>
          </cell>
          <cell r="B199" t="str">
            <v>31-33</v>
          </cell>
        </row>
        <row r="200">
          <cell r="A200">
            <v>126</v>
          </cell>
          <cell r="B200" t="str">
            <v>31-33</v>
          </cell>
        </row>
        <row r="201">
          <cell r="A201">
            <v>127</v>
          </cell>
          <cell r="B201" t="str">
            <v>31-33</v>
          </cell>
        </row>
        <row r="202">
          <cell r="A202">
            <v>128</v>
          </cell>
          <cell r="B202" t="str">
            <v>31-33</v>
          </cell>
        </row>
        <row r="203">
          <cell r="A203">
            <v>129</v>
          </cell>
          <cell r="B203" t="str">
            <v>31-33</v>
          </cell>
        </row>
        <row r="204">
          <cell r="A204">
            <v>130</v>
          </cell>
          <cell r="B204" t="str">
            <v>31-33</v>
          </cell>
        </row>
        <row r="205">
          <cell r="A205">
            <v>131</v>
          </cell>
          <cell r="B205" t="str">
            <v>31-33</v>
          </cell>
        </row>
        <row r="206">
          <cell r="A206">
            <v>132</v>
          </cell>
          <cell r="B206" t="str">
            <v>31-33</v>
          </cell>
        </row>
        <row r="207">
          <cell r="A207">
            <v>133</v>
          </cell>
          <cell r="B207" t="str">
            <v>31-33</v>
          </cell>
        </row>
        <row r="208">
          <cell r="A208">
            <v>134</v>
          </cell>
          <cell r="B208" t="str">
            <v>31-33</v>
          </cell>
        </row>
        <row r="209">
          <cell r="A209">
            <v>135</v>
          </cell>
          <cell r="B209" t="str">
            <v>31-33</v>
          </cell>
        </row>
        <row r="210">
          <cell r="A210">
            <v>136</v>
          </cell>
          <cell r="B210" t="str">
            <v>31-33</v>
          </cell>
        </row>
        <row r="211">
          <cell r="A211">
            <v>137</v>
          </cell>
          <cell r="B211" t="str">
            <v>31-33</v>
          </cell>
        </row>
        <row r="212">
          <cell r="A212">
            <v>138</v>
          </cell>
          <cell r="B212" t="str">
            <v>31-33</v>
          </cell>
        </row>
        <row r="213">
          <cell r="A213">
            <v>139</v>
          </cell>
          <cell r="B213" t="str">
            <v>31-33</v>
          </cell>
        </row>
        <row r="214">
          <cell r="A214">
            <v>140</v>
          </cell>
          <cell r="B214" t="str">
            <v>31-33</v>
          </cell>
        </row>
        <row r="215">
          <cell r="A215">
            <v>141</v>
          </cell>
          <cell r="B215" t="str">
            <v>31-33</v>
          </cell>
        </row>
        <row r="216">
          <cell r="A216">
            <v>142</v>
          </cell>
          <cell r="B216" t="str">
            <v>31-33</v>
          </cell>
        </row>
        <row r="217">
          <cell r="A217">
            <v>143</v>
          </cell>
          <cell r="B217" t="str">
            <v>31-33</v>
          </cell>
        </row>
        <row r="218">
          <cell r="A218">
            <v>144</v>
          </cell>
          <cell r="B218" t="str">
            <v>31-33</v>
          </cell>
        </row>
        <row r="219">
          <cell r="A219">
            <v>145</v>
          </cell>
          <cell r="B219" t="str">
            <v>31-33</v>
          </cell>
        </row>
        <row r="220">
          <cell r="A220">
            <v>146</v>
          </cell>
          <cell r="B220" t="str">
            <v>31-33</v>
          </cell>
        </row>
        <row r="221">
          <cell r="A221">
            <v>147</v>
          </cell>
          <cell r="B221" t="str">
            <v>31-33</v>
          </cell>
        </row>
        <row r="222">
          <cell r="A222">
            <v>148</v>
          </cell>
          <cell r="B222" t="str">
            <v>31-33</v>
          </cell>
        </row>
        <row r="223">
          <cell r="A223">
            <v>149</v>
          </cell>
          <cell r="B223" t="str">
            <v>31-33</v>
          </cell>
        </row>
        <row r="224">
          <cell r="A224">
            <v>150</v>
          </cell>
          <cell r="B224" t="str">
            <v>31-33</v>
          </cell>
        </row>
        <row r="225">
          <cell r="A225">
            <v>151</v>
          </cell>
          <cell r="B225" t="str">
            <v>31-33</v>
          </cell>
        </row>
        <row r="226">
          <cell r="A226">
            <v>152</v>
          </cell>
          <cell r="B226" t="str">
            <v>31-33</v>
          </cell>
        </row>
        <row r="227">
          <cell r="A227">
            <v>153</v>
          </cell>
          <cell r="B227" t="str">
            <v>31-33</v>
          </cell>
        </row>
        <row r="228">
          <cell r="A228">
            <v>154</v>
          </cell>
          <cell r="B228" t="str">
            <v>31-33</v>
          </cell>
        </row>
        <row r="229">
          <cell r="A229">
            <v>155</v>
          </cell>
          <cell r="B229" t="str">
            <v>31-33</v>
          </cell>
        </row>
        <row r="230">
          <cell r="A230">
            <v>156</v>
          </cell>
          <cell r="B230" t="str">
            <v>31-33</v>
          </cell>
        </row>
        <row r="231">
          <cell r="A231">
            <v>157</v>
          </cell>
          <cell r="B231" t="str">
            <v>31-33</v>
          </cell>
        </row>
        <row r="232">
          <cell r="A232">
            <v>158</v>
          </cell>
          <cell r="B232" t="str">
            <v>31-33</v>
          </cell>
        </row>
        <row r="233">
          <cell r="A233">
            <v>159</v>
          </cell>
          <cell r="B233" t="str">
            <v>31-33</v>
          </cell>
        </row>
        <row r="234">
          <cell r="A234">
            <v>160</v>
          </cell>
          <cell r="B234" t="str">
            <v>31-33</v>
          </cell>
        </row>
        <row r="235">
          <cell r="A235">
            <v>161</v>
          </cell>
          <cell r="B235" t="str">
            <v>31-33</v>
          </cell>
        </row>
        <row r="236">
          <cell r="A236">
            <v>162</v>
          </cell>
          <cell r="B236" t="str">
            <v>31-33</v>
          </cell>
        </row>
        <row r="237">
          <cell r="A237">
            <v>163</v>
          </cell>
          <cell r="B237" t="str">
            <v>31-33</v>
          </cell>
        </row>
        <row r="238">
          <cell r="A238">
            <v>164</v>
          </cell>
          <cell r="B238" t="str">
            <v>31-33</v>
          </cell>
        </row>
        <row r="239">
          <cell r="A239">
            <v>165</v>
          </cell>
          <cell r="B239" t="str">
            <v>31-33</v>
          </cell>
        </row>
        <row r="240">
          <cell r="A240">
            <v>166</v>
          </cell>
          <cell r="B240" t="str">
            <v>31-33</v>
          </cell>
        </row>
        <row r="241">
          <cell r="A241">
            <v>167</v>
          </cell>
          <cell r="B241" t="str">
            <v>31-33</v>
          </cell>
        </row>
        <row r="242">
          <cell r="A242">
            <v>168</v>
          </cell>
          <cell r="B242" t="str">
            <v>31-33</v>
          </cell>
        </row>
        <row r="243">
          <cell r="A243">
            <v>169</v>
          </cell>
          <cell r="B243" t="str">
            <v>31-33</v>
          </cell>
        </row>
        <row r="244">
          <cell r="A244">
            <v>170</v>
          </cell>
          <cell r="B244" t="str">
            <v>31-33</v>
          </cell>
        </row>
        <row r="245">
          <cell r="A245">
            <v>171</v>
          </cell>
          <cell r="B245" t="str">
            <v>31-33</v>
          </cell>
        </row>
        <row r="246">
          <cell r="A246">
            <v>172</v>
          </cell>
          <cell r="B246" t="str">
            <v>31-33</v>
          </cell>
        </row>
        <row r="247">
          <cell r="A247">
            <v>173</v>
          </cell>
          <cell r="B247" t="str">
            <v>31-33</v>
          </cell>
        </row>
        <row r="248">
          <cell r="A248">
            <v>174</v>
          </cell>
          <cell r="B248" t="str">
            <v>31-33</v>
          </cell>
        </row>
        <row r="249">
          <cell r="A249">
            <v>175</v>
          </cell>
          <cell r="B249" t="str">
            <v>31-33</v>
          </cell>
        </row>
        <row r="250">
          <cell r="A250">
            <v>176</v>
          </cell>
          <cell r="B250" t="str">
            <v>31-33</v>
          </cell>
        </row>
        <row r="251">
          <cell r="A251">
            <v>177</v>
          </cell>
          <cell r="B251" t="str">
            <v>31-33</v>
          </cell>
        </row>
        <row r="252">
          <cell r="A252">
            <v>178</v>
          </cell>
          <cell r="B252" t="str">
            <v>31-33</v>
          </cell>
        </row>
        <row r="253">
          <cell r="A253">
            <v>179</v>
          </cell>
          <cell r="B253" t="str">
            <v>31-33</v>
          </cell>
        </row>
        <row r="254">
          <cell r="A254">
            <v>180</v>
          </cell>
          <cell r="B254" t="str">
            <v>31-33</v>
          </cell>
        </row>
        <row r="255">
          <cell r="A255">
            <v>181</v>
          </cell>
          <cell r="B255" t="str">
            <v>31-33</v>
          </cell>
        </row>
        <row r="256">
          <cell r="A256">
            <v>182</v>
          </cell>
          <cell r="B256" t="str">
            <v>31-33</v>
          </cell>
        </row>
        <row r="257">
          <cell r="A257">
            <v>183</v>
          </cell>
          <cell r="B257" t="str">
            <v>31-33</v>
          </cell>
        </row>
        <row r="258">
          <cell r="A258">
            <v>184</v>
          </cell>
          <cell r="B258" t="str">
            <v>31-33</v>
          </cell>
        </row>
        <row r="259">
          <cell r="A259">
            <v>185</v>
          </cell>
          <cell r="B259" t="str">
            <v>31-33</v>
          </cell>
        </row>
        <row r="260">
          <cell r="A260">
            <v>186</v>
          </cell>
          <cell r="B260" t="str">
            <v>31-33</v>
          </cell>
        </row>
        <row r="261">
          <cell r="A261">
            <v>187</v>
          </cell>
          <cell r="B261" t="str">
            <v>31-33</v>
          </cell>
        </row>
        <row r="262">
          <cell r="A262">
            <v>188</v>
          </cell>
          <cell r="B262" t="str">
            <v>31-33</v>
          </cell>
        </row>
        <row r="263">
          <cell r="A263">
            <v>189</v>
          </cell>
          <cell r="B263" t="str">
            <v>31-33</v>
          </cell>
        </row>
        <row r="264">
          <cell r="A264">
            <v>190</v>
          </cell>
          <cell r="B264" t="str">
            <v>31-33</v>
          </cell>
        </row>
        <row r="265">
          <cell r="A265">
            <v>191</v>
          </cell>
          <cell r="B265" t="str">
            <v>31-33</v>
          </cell>
        </row>
        <row r="266">
          <cell r="A266">
            <v>192</v>
          </cell>
          <cell r="B266" t="str">
            <v>31-33</v>
          </cell>
        </row>
        <row r="267">
          <cell r="A267">
            <v>193</v>
          </cell>
          <cell r="B267" t="str">
            <v>31-33</v>
          </cell>
        </row>
        <row r="268">
          <cell r="A268">
            <v>194</v>
          </cell>
          <cell r="B268" t="str">
            <v>31-33</v>
          </cell>
        </row>
        <row r="269">
          <cell r="A269">
            <v>195</v>
          </cell>
          <cell r="B269" t="str">
            <v>31-33</v>
          </cell>
        </row>
        <row r="270">
          <cell r="A270">
            <v>196</v>
          </cell>
          <cell r="B270" t="str">
            <v>31-33</v>
          </cell>
        </row>
        <row r="271">
          <cell r="A271">
            <v>197</v>
          </cell>
          <cell r="B271" t="str">
            <v>31-33</v>
          </cell>
        </row>
        <row r="272">
          <cell r="A272">
            <v>198</v>
          </cell>
          <cell r="B272" t="str">
            <v>31-33</v>
          </cell>
        </row>
        <row r="273">
          <cell r="A273">
            <v>199</v>
          </cell>
          <cell r="B273" t="str">
            <v>31-33</v>
          </cell>
        </row>
        <row r="274">
          <cell r="A274">
            <v>200</v>
          </cell>
          <cell r="B274" t="str">
            <v>31-33</v>
          </cell>
        </row>
        <row r="275">
          <cell r="A275">
            <v>201</v>
          </cell>
          <cell r="B275" t="str">
            <v>31-33</v>
          </cell>
        </row>
        <row r="276">
          <cell r="A276">
            <v>202</v>
          </cell>
          <cell r="B276" t="str">
            <v>31-33</v>
          </cell>
        </row>
        <row r="277">
          <cell r="A277">
            <v>203</v>
          </cell>
          <cell r="B277" t="str">
            <v>31-33</v>
          </cell>
        </row>
        <row r="278">
          <cell r="A278">
            <v>204</v>
          </cell>
          <cell r="B278" t="str">
            <v>31-33</v>
          </cell>
        </row>
        <row r="279">
          <cell r="A279">
            <v>205</v>
          </cell>
          <cell r="B279" t="str">
            <v>31-33</v>
          </cell>
        </row>
        <row r="280">
          <cell r="A280">
            <v>206</v>
          </cell>
          <cell r="B280" t="str">
            <v>31-33</v>
          </cell>
        </row>
        <row r="281">
          <cell r="A281">
            <v>207</v>
          </cell>
          <cell r="B281" t="str">
            <v>31-33</v>
          </cell>
        </row>
        <row r="282">
          <cell r="A282">
            <v>208</v>
          </cell>
          <cell r="B282" t="str">
            <v>31-33</v>
          </cell>
        </row>
        <row r="283">
          <cell r="A283">
            <v>209</v>
          </cell>
          <cell r="B283" t="str">
            <v>31-33</v>
          </cell>
        </row>
        <row r="284">
          <cell r="A284">
            <v>210</v>
          </cell>
          <cell r="B284" t="str">
            <v>31-33</v>
          </cell>
        </row>
        <row r="285">
          <cell r="A285">
            <v>211</v>
          </cell>
          <cell r="B285" t="str">
            <v>31-33</v>
          </cell>
        </row>
        <row r="286">
          <cell r="A286">
            <v>212</v>
          </cell>
          <cell r="B286" t="str">
            <v>31-33</v>
          </cell>
        </row>
        <row r="287">
          <cell r="A287">
            <v>213</v>
          </cell>
          <cell r="B287" t="str">
            <v>31-33</v>
          </cell>
        </row>
        <row r="288">
          <cell r="A288">
            <v>214</v>
          </cell>
          <cell r="B288" t="str">
            <v>31-33</v>
          </cell>
        </row>
        <row r="289">
          <cell r="A289">
            <v>215</v>
          </cell>
          <cell r="B289" t="str">
            <v>31-33</v>
          </cell>
        </row>
        <row r="290">
          <cell r="A290">
            <v>216</v>
          </cell>
          <cell r="B290" t="str">
            <v>31-33</v>
          </cell>
        </row>
        <row r="291">
          <cell r="A291">
            <v>217</v>
          </cell>
          <cell r="B291" t="str">
            <v>31-33</v>
          </cell>
        </row>
        <row r="292">
          <cell r="A292">
            <v>218</v>
          </cell>
          <cell r="B292" t="str">
            <v>31-33</v>
          </cell>
        </row>
        <row r="293">
          <cell r="A293">
            <v>219</v>
          </cell>
          <cell r="B293" t="str">
            <v>31-33</v>
          </cell>
        </row>
        <row r="294">
          <cell r="A294">
            <v>220</v>
          </cell>
          <cell r="B294" t="str">
            <v>31-33</v>
          </cell>
        </row>
        <row r="295">
          <cell r="A295">
            <v>221</v>
          </cell>
          <cell r="B295" t="str">
            <v>31-33</v>
          </cell>
        </row>
        <row r="296">
          <cell r="A296">
            <v>222</v>
          </cell>
          <cell r="B296" t="str">
            <v>31-33</v>
          </cell>
        </row>
        <row r="297">
          <cell r="A297">
            <v>223</v>
          </cell>
          <cell r="B297" t="str">
            <v>31-33</v>
          </cell>
        </row>
        <row r="298">
          <cell r="A298">
            <v>224</v>
          </cell>
          <cell r="B298" t="str">
            <v>31-33</v>
          </cell>
        </row>
        <row r="299">
          <cell r="A299">
            <v>225</v>
          </cell>
          <cell r="B299" t="str">
            <v>31-33</v>
          </cell>
        </row>
        <row r="300">
          <cell r="A300">
            <v>226</v>
          </cell>
          <cell r="B300" t="str">
            <v>31-33</v>
          </cell>
        </row>
        <row r="301">
          <cell r="A301">
            <v>227</v>
          </cell>
          <cell r="B301" t="str">
            <v>31-33</v>
          </cell>
        </row>
        <row r="302">
          <cell r="A302">
            <v>228</v>
          </cell>
          <cell r="B302" t="str">
            <v>31-33</v>
          </cell>
        </row>
        <row r="303">
          <cell r="A303">
            <v>229</v>
          </cell>
          <cell r="B303" t="str">
            <v>31-33</v>
          </cell>
        </row>
        <row r="304">
          <cell r="A304">
            <v>230</v>
          </cell>
          <cell r="B304" t="str">
            <v>31-33</v>
          </cell>
        </row>
        <row r="305">
          <cell r="A305">
            <v>231</v>
          </cell>
          <cell r="B305" t="str">
            <v>31-33</v>
          </cell>
        </row>
        <row r="306">
          <cell r="A306">
            <v>232</v>
          </cell>
          <cell r="B306" t="str">
            <v>31-33</v>
          </cell>
        </row>
        <row r="307">
          <cell r="A307">
            <v>233</v>
          </cell>
          <cell r="B307" t="str">
            <v>31-33</v>
          </cell>
        </row>
        <row r="308">
          <cell r="A308">
            <v>234</v>
          </cell>
          <cell r="B308" t="str">
            <v>31-33</v>
          </cell>
        </row>
        <row r="309">
          <cell r="A309">
            <v>235</v>
          </cell>
          <cell r="B309" t="str">
            <v>31-33</v>
          </cell>
        </row>
        <row r="310">
          <cell r="A310">
            <v>236</v>
          </cell>
          <cell r="B310" t="str">
            <v>31-33</v>
          </cell>
        </row>
        <row r="311">
          <cell r="A311">
            <v>237</v>
          </cell>
          <cell r="B311" t="str">
            <v>31-33</v>
          </cell>
        </row>
        <row r="312">
          <cell r="A312">
            <v>238</v>
          </cell>
          <cell r="B312" t="str">
            <v>31-33</v>
          </cell>
        </row>
        <row r="313">
          <cell r="A313">
            <v>239</v>
          </cell>
          <cell r="B313" t="str">
            <v>31-33</v>
          </cell>
        </row>
        <row r="314">
          <cell r="A314">
            <v>240</v>
          </cell>
          <cell r="B314" t="str">
            <v>31-33</v>
          </cell>
        </row>
        <row r="315">
          <cell r="A315">
            <v>241</v>
          </cell>
          <cell r="B315" t="str">
            <v>31-33</v>
          </cell>
        </row>
        <row r="316">
          <cell r="A316">
            <v>242</v>
          </cell>
          <cell r="B316" t="str">
            <v>31-33</v>
          </cell>
        </row>
        <row r="317">
          <cell r="A317">
            <v>243</v>
          </cell>
          <cell r="B317" t="str">
            <v>31-33</v>
          </cell>
        </row>
        <row r="318">
          <cell r="A318">
            <v>244</v>
          </cell>
          <cell r="B318" t="str">
            <v>31-33</v>
          </cell>
        </row>
        <row r="319">
          <cell r="A319">
            <v>245</v>
          </cell>
          <cell r="B319" t="str">
            <v>31-33</v>
          </cell>
        </row>
        <row r="320">
          <cell r="A320">
            <v>246</v>
          </cell>
          <cell r="B320" t="str">
            <v>31-33</v>
          </cell>
        </row>
        <row r="321">
          <cell r="A321">
            <v>247</v>
          </cell>
          <cell r="B321" t="str">
            <v>31-33</v>
          </cell>
        </row>
        <row r="322">
          <cell r="A322">
            <v>248</v>
          </cell>
          <cell r="B322" t="str">
            <v>31-33</v>
          </cell>
        </row>
        <row r="323">
          <cell r="A323">
            <v>249</v>
          </cell>
          <cell r="B323" t="str">
            <v>31-33</v>
          </cell>
        </row>
        <row r="324">
          <cell r="A324">
            <v>250</v>
          </cell>
          <cell r="B324" t="str">
            <v>31-33</v>
          </cell>
        </row>
        <row r="325">
          <cell r="A325">
            <v>251</v>
          </cell>
          <cell r="B325" t="str">
            <v>31-33</v>
          </cell>
        </row>
        <row r="326">
          <cell r="A326">
            <v>252</v>
          </cell>
          <cell r="B326" t="str">
            <v>31-33</v>
          </cell>
        </row>
        <row r="327">
          <cell r="A327">
            <v>253</v>
          </cell>
          <cell r="B327" t="str">
            <v>31-33</v>
          </cell>
        </row>
        <row r="328">
          <cell r="A328">
            <v>254</v>
          </cell>
          <cell r="B328" t="str">
            <v>31-33</v>
          </cell>
        </row>
        <row r="329">
          <cell r="A329">
            <v>255</v>
          </cell>
          <cell r="B329" t="str">
            <v>31-33</v>
          </cell>
        </row>
        <row r="330">
          <cell r="A330">
            <v>256</v>
          </cell>
          <cell r="B330" t="str">
            <v>31-33</v>
          </cell>
        </row>
        <row r="331">
          <cell r="A331">
            <v>257</v>
          </cell>
          <cell r="B331" t="str">
            <v>31-33</v>
          </cell>
        </row>
        <row r="332">
          <cell r="A332">
            <v>258</v>
          </cell>
          <cell r="B332" t="str">
            <v>31-33</v>
          </cell>
        </row>
        <row r="333">
          <cell r="A333">
            <v>259</v>
          </cell>
          <cell r="B333" t="str">
            <v>31-33</v>
          </cell>
        </row>
        <row r="334">
          <cell r="A334">
            <v>260</v>
          </cell>
          <cell r="B334" t="str">
            <v>31-33</v>
          </cell>
        </row>
        <row r="335">
          <cell r="A335">
            <v>261</v>
          </cell>
          <cell r="B335" t="str">
            <v>31-33</v>
          </cell>
        </row>
        <row r="336">
          <cell r="A336">
            <v>262</v>
          </cell>
          <cell r="B336" t="str">
            <v>31-33</v>
          </cell>
        </row>
        <row r="337">
          <cell r="A337">
            <v>263</v>
          </cell>
          <cell r="B337" t="str">
            <v>31-33</v>
          </cell>
        </row>
        <row r="338">
          <cell r="A338">
            <v>264</v>
          </cell>
          <cell r="B338" t="str">
            <v>31-33</v>
          </cell>
        </row>
        <row r="339">
          <cell r="A339">
            <v>265</v>
          </cell>
          <cell r="B339" t="str">
            <v>31-33</v>
          </cell>
        </row>
        <row r="340">
          <cell r="A340">
            <v>266</v>
          </cell>
          <cell r="B340" t="str">
            <v>31-33</v>
          </cell>
        </row>
        <row r="341">
          <cell r="A341">
            <v>267</v>
          </cell>
          <cell r="B341" t="str">
            <v>31-33</v>
          </cell>
        </row>
        <row r="342">
          <cell r="A342">
            <v>268</v>
          </cell>
          <cell r="B342" t="str">
            <v>31-33</v>
          </cell>
        </row>
        <row r="343">
          <cell r="A343">
            <v>269</v>
          </cell>
          <cell r="B343" t="str">
            <v>31-33</v>
          </cell>
        </row>
        <row r="344">
          <cell r="A344">
            <v>270</v>
          </cell>
          <cell r="B344" t="str">
            <v>31-33</v>
          </cell>
        </row>
        <row r="345">
          <cell r="A345">
            <v>271</v>
          </cell>
          <cell r="B345" t="str">
            <v>31-33</v>
          </cell>
        </row>
        <row r="346">
          <cell r="A346">
            <v>272</v>
          </cell>
          <cell r="B346" t="str">
            <v>31-33</v>
          </cell>
        </row>
        <row r="347">
          <cell r="A347">
            <v>273</v>
          </cell>
          <cell r="B347" t="str">
            <v>31-33</v>
          </cell>
        </row>
        <row r="348">
          <cell r="A348">
            <v>274</v>
          </cell>
          <cell r="B348" t="str">
            <v>31-33</v>
          </cell>
        </row>
        <row r="349">
          <cell r="A349">
            <v>275</v>
          </cell>
          <cell r="B349" t="str">
            <v>31-33</v>
          </cell>
        </row>
        <row r="350">
          <cell r="A350">
            <v>276</v>
          </cell>
          <cell r="B350" t="str">
            <v>31-33</v>
          </cell>
        </row>
        <row r="351">
          <cell r="A351">
            <v>277</v>
          </cell>
          <cell r="B351" t="str">
            <v>31-33</v>
          </cell>
        </row>
        <row r="352">
          <cell r="A352">
            <v>278</v>
          </cell>
          <cell r="B352" t="str">
            <v>31-33</v>
          </cell>
        </row>
        <row r="353">
          <cell r="A353">
            <v>279</v>
          </cell>
          <cell r="B353" t="str">
            <v>31-33</v>
          </cell>
        </row>
        <row r="354">
          <cell r="A354">
            <v>280</v>
          </cell>
          <cell r="B354" t="str">
            <v>31-33</v>
          </cell>
        </row>
        <row r="355">
          <cell r="A355">
            <v>281</v>
          </cell>
          <cell r="B355" t="str">
            <v>31-33</v>
          </cell>
        </row>
        <row r="356">
          <cell r="A356">
            <v>282</v>
          </cell>
          <cell r="B356" t="str">
            <v>31-33</v>
          </cell>
        </row>
        <row r="357">
          <cell r="A357">
            <v>283</v>
          </cell>
          <cell r="B357" t="str">
            <v>31-33</v>
          </cell>
        </row>
        <row r="358">
          <cell r="A358">
            <v>284</v>
          </cell>
          <cell r="B358" t="str">
            <v>31-33</v>
          </cell>
        </row>
        <row r="359">
          <cell r="A359">
            <v>285</v>
          </cell>
          <cell r="B359" t="str">
            <v>31-33</v>
          </cell>
        </row>
        <row r="360">
          <cell r="A360">
            <v>286</v>
          </cell>
          <cell r="B360" t="str">
            <v>31-33</v>
          </cell>
        </row>
        <row r="361">
          <cell r="A361">
            <v>287</v>
          </cell>
          <cell r="B361" t="str">
            <v>31-33</v>
          </cell>
        </row>
        <row r="362">
          <cell r="A362">
            <v>288</v>
          </cell>
          <cell r="B362" t="str">
            <v>31-33</v>
          </cell>
        </row>
        <row r="363">
          <cell r="A363">
            <v>289</v>
          </cell>
          <cell r="B363" t="str">
            <v>31-33</v>
          </cell>
        </row>
        <row r="364">
          <cell r="A364">
            <v>290</v>
          </cell>
          <cell r="B364" t="str">
            <v>31-33</v>
          </cell>
        </row>
        <row r="365">
          <cell r="A365">
            <v>291</v>
          </cell>
          <cell r="B365" t="str">
            <v>31-33</v>
          </cell>
        </row>
        <row r="366">
          <cell r="A366">
            <v>292</v>
          </cell>
          <cell r="B366" t="str">
            <v>31-33</v>
          </cell>
        </row>
        <row r="367">
          <cell r="A367">
            <v>293</v>
          </cell>
          <cell r="B367" t="str">
            <v>31-33</v>
          </cell>
        </row>
        <row r="368">
          <cell r="A368">
            <v>294</v>
          </cell>
          <cell r="B368" t="str">
            <v>31-33</v>
          </cell>
        </row>
        <row r="369">
          <cell r="A369">
            <v>295</v>
          </cell>
          <cell r="B369" t="str">
            <v>31-33</v>
          </cell>
        </row>
        <row r="370">
          <cell r="A370">
            <v>296</v>
          </cell>
          <cell r="B370" t="str">
            <v>31-33</v>
          </cell>
        </row>
        <row r="371">
          <cell r="A371">
            <v>297</v>
          </cell>
          <cell r="B371" t="str">
            <v>31-33</v>
          </cell>
        </row>
        <row r="372">
          <cell r="A372">
            <v>298</v>
          </cell>
          <cell r="B372" t="str">
            <v>31-33</v>
          </cell>
        </row>
        <row r="373">
          <cell r="A373">
            <v>299</v>
          </cell>
          <cell r="B373" t="str">
            <v>31-33</v>
          </cell>
        </row>
        <row r="374">
          <cell r="A374">
            <v>300</v>
          </cell>
          <cell r="B374" t="str">
            <v>31-33</v>
          </cell>
        </row>
        <row r="375">
          <cell r="A375">
            <v>301</v>
          </cell>
          <cell r="B375" t="str">
            <v>31-33</v>
          </cell>
        </row>
        <row r="376">
          <cell r="A376">
            <v>302</v>
          </cell>
          <cell r="B376" t="str">
            <v>31-33</v>
          </cell>
        </row>
        <row r="377">
          <cell r="A377">
            <v>303</v>
          </cell>
          <cell r="B377" t="str">
            <v>31-33</v>
          </cell>
        </row>
        <row r="378">
          <cell r="A378">
            <v>304</v>
          </cell>
          <cell r="B378" t="str">
            <v>31-33</v>
          </cell>
        </row>
        <row r="379">
          <cell r="A379">
            <v>305</v>
          </cell>
          <cell r="B379" t="str">
            <v>31-33</v>
          </cell>
        </row>
        <row r="380">
          <cell r="A380">
            <v>306</v>
          </cell>
          <cell r="B380" t="str">
            <v>31-33</v>
          </cell>
        </row>
        <row r="381">
          <cell r="A381">
            <v>307</v>
          </cell>
          <cell r="B381" t="str">
            <v>31-33</v>
          </cell>
        </row>
        <row r="382">
          <cell r="A382">
            <v>308</v>
          </cell>
          <cell r="B382" t="str">
            <v>31-33</v>
          </cell>
        </row>
        <row r="383">
          <cell r="A383">
            <v>309</v>
          </cell>
          <cell r="B383" t="str">
            <v>31-33</v>
          </cell>
        </row>
        <row r="384">
          <cell r="A384">
            <v>310</v>
          </cell>
          <cell r="B384" t="str">
            <v>31-33</v>
          </cell>
        </row>
        <row r="385">
          <cell r="A385">
            <v>311</v>
          </cell>
          <cell r="B385" t="str">
            <v>31-33</v>
          </cell>
        </row>
        <row r="386">
          <cell r="A386">
            <v>312</v>
          </cell>
          <cell r="B386" t="str">
            <v>31-33</v>
          </cell>
        </row>
        <row r="387">
          <cell r="A387">
            <v>313</v>
          </cell>
          <cell r="B387" t="str">
            <v>31-33</v>
          </cell>
        </row>
        <row r="388">
          <cell r="A388">
            <v>314</v>
          </cell>
          <cell r="B388" t="str">
            <v>31-33</v>
          </cell>
        </row>
        <row r="389">
          <cell r="A389">
            <v>315</v>
          </cell>
          <cell r="B389" t="str">
            <v>31-33</v>
          </cell>
        </row>
        <row r="390">
          <cell r="A390">
            <v>316</v>
          </cell>
          <cell r="B390" t="str">
            <v>31-33</v>
          </cell>
        </row>
        <row r="391">
          <cell r="A391">
            <v>317</v>
          </cell>
          <cell r="B391" t="str">
            <v>31-33</v>
          </cell>
        </row>
        <row r="392">
          <cell r="A392">
            <v>318</v>
          </cell>
          <cell r="B392" t="str">
            <v>31-33</v>
          </cell>
        </row>
        <row r="393">
          <cell r="A393">
            <v>320</v>
          </cell>
          <cell r="B393" t="str">
            <v>44-45</v>
          </cell>
        </row>
        <row r="394">
          <cell r="A394">
            <v>321</v>
          </cell>
          <cell r="B394" t="str">
            <v>44-45</v>
          </cell>
        </row>
        <row r="395">
          <cell r="A395">
            <v>322</v>
          </cell>
          <cell r="B395" t="str">
            <v>44-45</v>
          </cell>
        </row>
        <row r="396">
          <cell r="A396">
            <v>323</v>
          </cell>
          <cell r="B396" t="str">
            <v>44-45</v>
          </cell>
        </row>
        <row r="397">
          <cell r="A397">
            <v>324</v>
          </cell>
          <cell r="B397" t="str">
            <v>44-45</v>
          </cell>
        </row>
        <row r="398">
          <cell r="A398">
            <v>325</v>
          </cell>
          <cell r="B398" t="str">
            <v>44-45</v>
          </cell>
        </row>
        <row r="399">
          <cell r="A399">
            <v>326</v>
          </cell>
          <cell r="B399" t="str">
            <v>44-45</v>
          </cell>
        </row>
        <row r="400">
          <cell r="A400">
            <v>327</v>
          </cell>
          <cell r="B400" t="str">
            <v>44-45</v>
          </cell>
        </row>
        <row r="401">
          <cell r="A401">
            <v>328</v>
          </cell>
          <cell r="B401" t="str">
            <v>44-45</v>
          </cell>
        </row>
        <row r="402">
          <cell r="A402">
            <v>329</v>
          </cell>
          <cell r="B402" t="str">
            <v>44-45</v>
          </cell>
        </row>
        <row r="403">
          <cell r="A403">
            <v>330</v>
          </cell>
          <cell r="B403" t="str">
            <v>44-45</v>
          </cell>
        </row>
        <row r="404">
          <cell r="A404">
            <v>331</v>
          </cell>
          <cell r="B404" t="str">
            <v>44-45</v>
          </cell>
        </row>
        <row r="405">
          <cell r="A405">
            <v>367</v>
          </cell>
          <cell r="B405" t="str">
            <v>54-55</v>
          </cell>
        </row>
        <row r="406">
          <cell r="A406">
            <v>368</v>
          </cell>
          <cell r="B406" t="str">
            <v>54-55</v>
          </cell>
        </row>
        <row r="407">
          <cell r="A407">
            <v>369</v>
          </cell>
          <cell r="B407" t="str">
            <v>54-55</v>
          </cell>
        </row>
        <row r="408">
          <cell r="A408">
            <v>370</v>
          </cell>
          <cell r="B408" t="str">
            <v>54-55</v>
          </cell>
        </row>
        <row r="409">
          <cell r="A409">
            <v>371</v>
          </cell>
          <cell r="B409" t="str">
            <v>54-55</v>
          </cell>
        </row>
        <row r="410">
          <cell r="A410">
            <v>372</v>
          </cell>
          <cell r="B410" t="str">
            <v>54-55</v>
          </cell>
        </row>
        <row r="411">
          <cell r="A411">
            <v>373</v>
          </cell>
          <cell r="B411" t="str">
            <v>54-55</v>
          </cell>
        </row>
        <row r="412">
          <cell r="A412">
            <v>374</v>
          </cell>
          <cell r="B412" t="str">
            <v>54-55</v>
          </cell>
        </row>
        <row r="413">
          <cell r="A413">
            <v>375</v>
          </cell>
          <cell r="B413" t="str">
            <v>54-55</v>
          </cell>
        </row>
        <row r="414">
          <cell r="A414">
            <v>376</v>
          </cell>
          <cell r="B414" t="str">
            <v>54-55</v>
          </cell>
        </row>
        <row r="415">
          <cell r="A415">
            <v>377</v>
          </cell>
          <cell r="B415" t="str">
            <v>54-55</v>
          </cell>
        </row>
        <row r="416">
          <cell r="A416">
            <v>378</v>
          </cell>
          <cell r="B416" t="str">
            <v>54-55</v>
          </cell>
        </row>
        <row r="417">
          <cell r="A417">
            <v>379</v>
          </cell>
          <cell r="B417" t="str">
            <v>54-55</v>
          </cell>
        </row>
        <row r="418">
          <cell r="A418">
            <v>380</v>
          </cell>
          <cell r="B418" t="str">
            <v>54-55</v>
          </cell>
        </row>
        <row r="419">
          <cell r="A419">
            <v>381</v>
          </cell>
          <cell r="B419" t="str">
            <v>54-55</v>
          </cell>
        </row>
        <row r="420">
          <cell r="A420">
            <v>402</v>
          </cell>
          <cell r="B420" t="str">
            <v>71-72</v>
          </cell>
        </row>
        <row r="421">
          <cell r="A421">
            <v>403</v>
          </cell>
          <cell r="B421" t="str">
            <v>71-72</v>
          </cell>
        </row>
        <row r="422">
          <cell r="A422">
            <v>404</v>
          </cell>
          <cell r="B422" t="str">
            <v>71-72</v>
          </cell>
        </row>
        <row r="423">
          <cell r="A423">
            <v>405</v>
          </cell>
          <cell r="B423" t="str">
            <v>71-72</v>
          </cell>
        </row>
        <row r="424">
          <cell r="A424">
            <v>406</v>
          </cell>
          <cell r="B424" t="str">
            <v>71-72</v>
          </cell>
        </row>
        <row r="425">
          <cell r="A425">
            <v>407</v>
          </cell>
          <cell r="B425" t="str">
            <v>71-72</v>
          </cell>
        </row>
        <row r="426">
          <cell r="A426">
            <v>408</v>
          </cell>
          <cell r="B426" t="str">
            <v>71-72</v>
          </cell>
        </row>
        <row r="427">
          <cell r="A427">
            <v>409</v>
          </cell>
          <cell r="B427" t="str">
            <v>71-72</v>
          </cell>
        </row>
        <row r="428">
          <cell r="A428">
            <v>410</v>
          </cell>
          <cell r="B428" t="str">
            <v>71-72</v>
          </cell>
        </row>
        <row r="429">
          <cell r="A429">
            <v>411</v>
          </cell>
          <cell r="B429" t="str">
            <v>71-72</v>
          </cell>
        </row>
        <row r="430">
          <cell r="A430">
            <v>412</v>
          </cell>
          <cell r="B430" t="str">
            <v>71-72</v>
          </cell>
        </row>
        <row r="431">
          <cell r="A431">
            <v>413</v>
          </cell>
          <cell r="B431" t="str">
            <v>71-72</v>
          </cell>
        </row>
        <row r="432">
          <cell r="A432">
            <v>428</v>
          </cell>
          <cell r="B432" t="str">
            <v>Govt</v>
          </cell>
        </row>
        <row r="433">
          <cell r="A433">
            <v>429</v>
          </cell>
          <cell r="B433" t="str">
            <v>Govt</v>
          </cell>
        </row>
        <row r="434">
          <cell r="A434">
            <v>430</v>
          </cell>
          <cell r="B434" t="str">
            <v>Govt</v>
          </cell>
        </row>
        <row r="435">
          <cell r="A435">
            <v>431</v>
          </cell>
          <cell r="B435" t="str">
            <v>Govt</v>
          </cell>
        </row>
        <row r="436">
          <cell r="A436">
            <v>432</v>
          </cell>
          <cell r="B436" t="str">
            <v>Govt</v>
          </cell>
        </row>
        <row r="437">
          <cell r="A437">
            <v>437</v>
          </cell>
          <cell r="B437" t="str">
            <v>Govt</v>
          </cell>
        </row>
        <row r="438">
          <cell r="A438">
            <v>438</v>
          </cell>
          <cell r="B438" t="str">
            <v>Govt</v>
          </cell>
        </row>
        <row r="439">
          <cell r="A439">
            <v>439</v>
          </cell>
          <cell r="B439" t="str">
            <v>Govt</v>
          </cell>
        </row>
        <row r="440">
          <cell r="A440">
            <v>440</v>
          </cell>
          <cell r="B440" t="str">
            <v>Govt</v>
          </cell>
        </row>
        <row r="441">
          <cell r="A441">
            <v>361</v>
          </cell>
          <cell r="B441" t="str">
            <v>na</v>
          </cell>
        </row>
        <row r="442">
          <cell r="A442">
            <v>433</v>
          </cell>
          <cell r="B442" t="str">
            <v>na</v>
          </cell>
        </row>
        <row r="443">
          <cell r="A443">
            <v>434</v>
          </cell>
          <cell r="B443" t="str">
            <v>na</v>
          </cell>
        </row>
        <row r="444">
          <cell r="A444">
            <v>435</v>
          </cell>
          <cell r="B444" t="str">
            <v>na</v>
          </cell>
        </row>
        <row r="445">
          <cell r="A445">
            <v>436</v>
          </cell>
          <cell r="B445" t="str">
            <v>na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13" Type="http://schemas.openxmlformats.org/officeDocument/2006/relationships/printerSettings" Target="../printerSettings/printerSettings94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Relationship Id="rId14" Type="http://schemas.openxmlformats.org/officeDocument/2006/relationships/printerSettings" Target="../printerSettings/printerSettings95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3.bin"/><Relationship Id="rId13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12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1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0.bin"/><Relationship Id="rId15" Type="http://schemas.openxmlformats.org/officeDocument/2006/relationships/drawing" Target="../drawings/drawing1.xml"/><Relationship Id="rId10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99.bin"/><Relationship Id="rId9" Type="http://schemas.openxmlformats.org/officeDocument/2006/relationships/printerSettings" Target="../printerSettings/printerSettings104.bin"/><Relationship Id="rId14" Type="http://schemas.openxmlformats.org/officeDocument/2006/relationships/printerSettings" Target="../printerSettings/printerSettings10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13" Type="http://schemas.openxmlformats.org/officeDocument/2006/relationships/printerSettings" Target="../printerSettings/printerSettings122.bin"/><Relationship Id="rId18" Type="http://schemas.openxmlformats.org/officeDocument/2006/relationships/printerSettings" Target="../printerSettings/printerSettings12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12" Type="http://schemas.openxmlformats.org/officeDocument/2006/relationships/printerSettings" Target="../printerSettings/printerSettings121.bin"/><Relationship Id="rId17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11.bin"/><Relationship Id="rId16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11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4.bin"/><Relationship Id="rId15" Type="http://schemas.openxmlformats.org/officeDocument/2006/relationships/printerSettings" Target="../printerSettings/printerSettings124.bin"/><Relationship Id="rId10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3.bin"/><Relationship Id="rId9" Type="http://schemas.openxmlformats.org/officeDocument/2006/relationships/printerSettings" Target="../printerSettings/printerSettings118.bin"/><Relationship Id="rId14" Type="http://schemas.openxmlformats.org/officeDocument/2006/relationships/printerSettings" Target="../printerSettings/printerSettings12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5.bin"/><Relationship Id="rId13" Type="http://schemas.openxmlformats.org/officeDocument/2006/relationships/printerSettings" Target="../printerSettings/printerSettings140.bin"/><Relationship Id="rId18" Type="http://schemas.openxmlformats.org/officeDocument/2006/relationships/printerSettings" Target="../printerSettings/printerSettings145.bin"/><Relationship Id="rId3" Type="http://schemas.openxmlformats.org/officeDocument/2006/relationships/printerSettings" Target="../printerSettings/printerSettings130.bin"/><Relationship Id="rId7" Type="http://schemas.openxmlformats.org/officeDocument/2006/relationships/printerSettings" Target="../printerSettings/printerSettings134.bin"/><Relationship Id="rId12" Type="http://schemas.openxmlformats.org/officeDocument/2006/relationships/printerSettings" Target="../printerSettings/printerSettings139.bin"/><Relationship Id="rId17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29.bin"/><Relationship Id="rId16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28.bin"/><Relationship Id="rId6" Type="http://schemas.openxmlformats.org/officeDocument/2006/relationships/printerSettings" Target="../printerSettings/printerSettings133.bin"/><Relationship Id="rId11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2.bin"/><Relationship Id="rId15" Type="http://schemas.openxmlformats.org/officeDocument/2006/relationships/printerSettings" Target="../printerSettings/printerSettings142.bin"/><Relationship Id="rId10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1.bin"/><Relationship Id="rId9" Type="http://schemas.openxmlformats.org/officeDocument/2006/relationships/printerSettings" Target="../printerSettings/printerSettings136.bin"/><Relationship Id="rId14" Type="http://schemas.openxmlformats.org/officeDocument/2006/relationships/printerSettings" Target="../printerSettings/printerSettings14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3.bin"/><Relationship Id="rId13" Type="http://schemas.openxmlformats.org/officeDocument/2006/relationships/printerSettings" Target="../printerSettings/printerSettings158.bin"/><Relationship Id="rId18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52.bin"/><Relationship Id="rId12" Type="http://schemas.openxmlformats.org/officeDocument/2006/relationships/printerSettings" Target="../printerSettings/printerSettings157.bin"/><Relationship Id="rId17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47.bin"/><Relationship Id="rId16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46.bin"/><Relationship Id="rId6" Type="http://schemas.openxmlformats.org/officeDocument/2006/relationships/printerSettings" Target="../printerSettings/printerSettings151.bin"/><Relationship Id="rId11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0.bin"/><Relationship Id="rId15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55.bin"/><Relationship Id="rId4" Type="http://schemas.openxmlformats.org/officeDocument/2006/relationships/printerSettings" Target="../printerSettings/printerSettings149.bin"/><Relationship Id="rId9" Type="http://schemas.openxmlformats.org/officeDocument/2006/relationships/printerSettings" Target="../printerSettings/printerSettings154.bin"/><Relationship Id="rId14" Type="http://schemas.openxmlformats.org/officeDocument/2006/relationships/printerSettings" Target="../printerSettings/printerSettings15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1.bin"/><Relationship Id="rId13" Type="http://schemas.openxmlformats.org/officeDocument/2006/relationships/printerSettings" Target="../printerSettings/printerSettings176.bin"/><Relationship Id="rId18" Type="http://schemas.openxmlformats.org/officeDocument/2006/relationships/printerSettings" Target="../printerSettings/printerSettings181.bin"/><Relationship Id="rId3" Type="http://schemas.openxmlformats.org/officeDocument/2006/relationships/printerSettings" Target="../printerSettings/printerSettings166.bin"/><Relationship Id="rId7" Type="http://schemas.openxmlformats.org/officeDocument/2006/relationships/printerSettings" Target="../printerSettings/printerSettings170.bin"/><Relationship Id="rId12" Type="http://schemas.openxmlformats.org/officeDocument/2006/relationships/printerSettings" Target="../printerSettings/printerSettings175.bin"/><Relationship Id="rId17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65.bin"/><Relationship Id="rId16" Type="http://schemas.openxmlformats.org/officeDocument/2006/relationships/printerSettings" Target="../printerSettings/printerSettings179.bin"/><Relationship Id="rId20" Type="http://schemas.openxmlformats.org/officeDocument/2006/relationships/comments" Target="../comments3.xml"/><Relationship Id="rId1" Type="http://schemas.openxmlformats.org/officeDocument/2006/relationships/printerSettings" Target="../printerSettings/printerSettings164.bin"/><Relationship Id="rId6" Type="http://schemas.openxmlformats.org/officeDocument/2006/relationships/printerSettings" Target="../printerSettings/printerSettings169.bin"/><Relationship Id="rId11" Type="http://schemas.openxmlformats.org/officeDocument/2006/relationships/printerSettings" Target="../printerSettings/printerSettings174.bin"/><Relationship Id="rId5" Type="http://schemas.openxmlformats.org/officeDocument/2006/relationships/printerSettings" Target="../printerSettings/printerSettings168.bin"/><Relationship Id="rId15" Type="http://schemas.openxmlformats.org/officeDocument/2006/relationships/printerSettings" Target="../printerSettings/printerSettings178.bin"/><Relationship Id="rId10" Type="http://schemas.openxmlformats.org/officeDocument/2006/relationships/printerSettings" Target="../printerSettings/printerSettings173.bin"/><Relationship Id="rId19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7.bin"/><Relationship Id="rId9" Type="http://schemas.openxmlformats.org/officeDocument/2006/relationships/printerSettings" Target="../printerSettings/printerSettings172.bin"/><Relationship Id="rId14" Type="http://schemas.openxmlformats.org/officeDocument/2006/relationships/printerSettings" Target="../printerSettings/printerSettings17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1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1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19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13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12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1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Relationship Id="rId14" Type="http://schemas.openxmlformats.org/officeDocument/2006/relationships/printerSettings" Target="../printerSettings/printerSettings6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/>
  </sheetViews>
  <sheetFormatPr defaultRowHeight="15"/>
  <sheetData>
    <row r="1" spans="1:1">
      <c r="A1" t="s">
        <v>707</v>
      </c>
    </row>
    <row r="3" spans="1:1">
      <c r="A3" s="826" t="s">
        <v>688</v>
      </c>
    </row>
    <row r="4" spans="1:1">
      <c r="A4" s="826" t="s">
        <v>689</v>
      </c>
    </row>
    <row r="5" spans="1:1">
      <c r="A5" s="826" t="s">
        <v>703</v>
      </c>
    </row>
    <row r="6" spans="1:1">
      <c r="A6" s="826" t="s">
        <v>690</v>
      </c>
    </row>
    <row r="7" spans="1:1">
      <c r="A7" s="826" t="s">
        <v>691</v>
      </c>
    </row>
    <row r="8" spans="1:1">
      <c r="A8" s="826" t="s">
        <v>706</v>
      </c>
    </row>
    <row r="10" spans="1:1">
      <c r="A10" s="826" t="s">
        <v>704</v>
      </c>
    </row>
    <row r="12" spans="1:1">
      <c r="A12" s="826"/>
    </row>
    <row r="13" spans="1:1">
      <c r="A13" s="826"/>
    </row>
    <row r="14" spans="1:1">
      <c r="A14" s="826"/>
    </row>
  </sheetData>
  <sheetProtection algorithmName="SHA-512" hashValue="tGZbbsZFwTUwFT1/ly93gPNnRJxy+O3wyZ21tOJnboD8Wk3KAcAhHiyillqP/yxESGw55Cct1v4PZ3G8pw0/mQ==" saltValue="A84wucP1XmuF4/tY6kxdB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2"/>
  <sheetViews>
    <sheetView showGridLines="0" workbookViewId="0">
      <selection sqref="A1:XFD1048576"/>
    </sheetView>
  </sheetViews>
  <sheetFormatPr defaultColWidth="8.85546875" defaultRowHeight="16.5"/>
  <cols>
    <col min="1" max="1" width="47.140625" style="557" bestFit="1" customWidth="1"/>
    <col min="2" max="2" width="2.140625" style="557" customWidth="1"/>
    <col min="3" max="3" width="16.7109375" style="557" bestFit="1" customWidth="1"/>
    <col min="4" max="4" width="0.85546875" style="557" customWidth="1"/>
    <col min="5" max="5" width="16.7109375" style="557" bestFit="1" customWidth="1"/>
    <col min="6" max="6" width="8.85546875" style="557"/>
    <col min="7" max="7" width="13.140625" style="557" bestFit="1" customWidth="1"/>
    <col min="8" max="16384" width="8.85546875" style="557"/>
  </cols>
  <sheetData>
    <row r="1" spans="1:7">
      <c r="A1" s="601" t="s">
        <v>520</v>
      </c>
      <c r="B1" s="602"/>
      <c r="C1" s="602"/>
      <c r="D1" s="602"/>
      <c r="E1" s="602"/>
    </row>
    <row r="2" spans="1:7" ht="4.1500000000000004" customHeight="1"/>
    <row r="3" spans="1:7">
      <c r="A3" s="601" t="s">
        <v>519</v>
      </c>
      <c r="B3" s="600"/>
      <c r="C3" s="599" t="s">
        <v>493</v>
      </c>
      <c r="D3" s="599"/>
      <c r="E3" s="599"/>
    </row>
    <row r="4" spans="1:7" ht="6.6" customHeight="1"/>
    <row r="5" spans="1:7">
      <c r="A5" s="598" t="s">
        <v>518</v>
      </c>
      <c r="B5" s="598"/>
      <c r="C5" s="597" t="s">
        <v>386</v>
      </c>
      <c r="D5" s="596"/>
      <c r="E5" s="595" t="s">
        <v>232</v>
      </c>
      <c r="G5" s="560"/>
    </row>
    <row r="6" spans="1:7" s="590" customFormat="1" ht="6" customHeight="1">
      <c r="A6" s="594"/>
      <c r="B6" s="594"/>
      <c r="C6" s="593"/>
      <c r="D6" s="592"/>
      <c r="E6" s="591"/>
      <c r="G6" s="560"/>
    </row>
    <row r="7" spans="1:7">
      <c r="A7" s="557" t="s">
        <v>517</v>
      </c>
      <c r="C7" s="589">
        <v>777</v>
      </c>
      <c r="D7" s="588"/>
      <c r="E7" s="587">
        <v>800</v>
      </c>
      <c r="G7" s="560"/>
    </row>
    <row r="8" spans="1:7">
      <c r="A8" s="557" t="s">
        <v>516</v>
      </c>
      <c r="C8" s="586">
        <v>3.4</v>
      </c>
      <c r="D8" s="565"/>
      <c r="E8" s="585">
        <v>4.5</v>
      </c>
      <c r="G8" s="584"/>
    </row>
    <row r="9" spans="1:7">
      <c r="A9" s="557" t="s">
        <v>515</v>
      </c>
      <c r="C9" s="583">
        <v>5.2499999999999998E-2</v>
      </c>
      <c r="D9" s="565"/>
      <c r="E9" s="582">
        <v>5.1499999999999997E-2</v>
      </c>
      <c r="G9" s="581"/>
    </row>
    <row r="10" spans="1:7">
      <c r="C10" s="566"/>
      <c r="D10" s="565"/>
      <c r="E10" s="564"/>
      <c r="G10" s="560"/>
    </row>
    <row r="11" spans="1:7">
      <c r="A11" s="557" t="s">
        <v>514</v>
      </c>
      <c r="C11" s="573"/>
      <c r="D11" s="565"/>
      <c r="E11" s="572"/>
      <c r="G11" s="560"/>
    </row>
    <row r="12" spans="1:7">
      <c r="A12" s="571" t="str">
        <f>'BMR Rents_80%AMI'!$D$3</f>
        <v>Studio</v>
      </c>
      <c r="B12" s="571"/>
      <c r="C12" s="580">
        <v>0</v>
      </c>
      <c r="D12" s="565"/>
      <c r="E12" s="579">
        <v>0</v>
      </c>
      <c r="G12" s="578"/>
    </row>
    <row r="13" spans="1:7">
      <c r="A13" s="571" t="str">
        <f>'BMR Rents_80%AMI'!$E$3</f>
        <v>1 BR</v>
      </c>
      <c r="B13" s="571"/>
      <c r="C13" s="580">
        <v>1</v>
      </c>
      <c r="D13" s="565"/>
      <c r="E13" s="579">
        <v>1</v>
      </c>
      <c r="G13" s="578"/>
    </row>
    <row r="14" spans="1:7">
      <c r="A14" s="571" t="str">
        <f>'BMR Rents_80%AMI'!$F$3</f>
        <v>2 BR</v>
      </c>
      <c r="B14" s="571"/>
      <c r="C14" s="580">
        <v>0</v>
      </c>
      <c r="D14" s="565"/>
      <c r="E14" s="579">
        <v>0</v>
      </c>
      <c r="G14" s="578"/>
    </row>
    <row r="15" spans="1:7">
      <c r="A15" s="571" t="str">
        <f>'BMR Rents_80%AMI'!$G$3</f>
        <v>3 BR</v>
      </c>
      <c r="B15" s="571"/>
      <c r="C15" s="580">
        <v>0</v>
      </c>
      <c r="D15" s="565"/>
      <c r="E15" s="579">
        <v>0</v>
      </c>
      <c r="G15" s="578"/>
    </row>
    <row r="16" spans="1:7">
      <c r="A16" s="571" t="str">
        <f>'BMR Rents_80%AMI'!$H$3</f>
        <v>4 BR</v>
      </c>
      <c r="B16" s="571"/>
      <c r="C16" s="580">
        <v>0</v>
      </c>
      <c r="D16" s="565"/>
      <c r="E16" s="579">
        <v>0</v>
      </c>
      <c r="G16" s="578"/>
    </row>
    <row r="17" spans="1:7">
      <c r="C17" s="575"/>
      <c r="D17" s="565"/>
      <c r="E17" s="574"/>
      <c r="G17" s="560"/>
    </row>
    <row r="18" spans="1:7">
      <c r="A18" s="557" t="s">
        <v>513</v>
      </c>
      <c r="C18" s="575">
        <f>C8*C7*12</f>
        <v>31701.599999999999</v>
      </c>
      <c r="D18" s="567"/>
      <c r="E18" s="574">
        <f>E8*E7*12</f>
        <v>43200</v>
      </c>
      <c r="G18" s="567"/>
    </row>
    <row r="19" spans="1:7">
      <c r="A19" s="571" t="s">
        <v>512</v>
      </c>
      <c r="C19" s="575">
        <f t="shared" ref="C19:E19" si="0">-C18*5%</f>
        <v>-1585.08</v>
      </c>
      <c r="D19" s="567"/>
      <c r="E19" s="574">
        <f t="shared" si="0"/>
        <v>-2160</v>
      </c>
      <c r="G19" s="567"/>
    </row>
    <row r="20" spans="1:7">
      <c r="A20" s="557" t="s">
        <v>511</v>
      </c>
      <c r="C20" s="577">
        <f t="shared" ref="C20:E20" si="1">SUM(C18:C19)</f>
        <v>30116.519999999997</v>
      </c>
      <c r="D20" s="567"/>
      <c r="E20" s="576">
        <f t="shared" si="1"/>
        <v>41040</v>
      </c>
      <c r="G20" s="567"/>
    </row>
    <row r="21" spans="1:7">
      <c r="C21" s="575"/>
      <c r="D21" s="565"/>
      <c r="E21" s="574"/>
      <c r="G21" s="560"/>
    </row>
    <row r="22" spans="1:7">
      <c r="A22" s="557" t="s">
        <v>510</v>
      </c>
      <c r="C22" s="575">
        <f>(C12*'BMR Rents_80%AMI'!$D$8+C13*'BMR Rents_80%AMI'!$E$8+C14*'BMR Rents_80%AMI'!$F$8+C15*'BMR Rents_80%AMI'!$G$8+C16*'BMR Rents_80%AMI'!$H$8)*12</f>
        <v>18700.8</v>
      </c>
      <c r="D22" s="565"/>
      <c r="E22" s="574">
        <f>(E12*'BMR Rents_80%AMI'!$D$8+E13*'BMR Rents_80%AMI'!$E$8+E14*'BMR Rents_80%AMI'!$F$8+E15*'BMR Rents_80%AMI'!$G$8+E16*'BMR Rents_80%AMI'!$H$8)*12</f>
        <v>18700.8</v>
      </c>
      <c r="G22" s="567"/>
    </row>
    <row r="23" spans="1:7">
      <c r="A23" s="571" t="s">
        <v>509</v>
      </c>
      <c r="B23" s="571"/>
      <c r="C23" s="573">
        <f t="shared" ref="C23:E23" si="2">-C22*2%</f>
        <v>-374.01600000000002</v>
      </c>
      <c r="D23" s="565"/>
      <c r="E23" s="572">
        <f t="shared" si="2"/>
        <v>-374.01600000000002</v>
      </c>
      <c r="G23" s="567"/>
    </row>
    <row r="24" spans="1:7">
      <c r="A24" s="557" t="s">
        <v>508</v>
      </c>
      <c r="B24" s="571"/>
      <c r="C24" s="570">
        <f t="shared" ref="C24:E24" si="3">SUM(C22:C23)</f>
        <v>18326.784</v>
      </c>
      <c r="D24" s="565"/>
      <c r="E24" s="568">
        <f t="shared" si="3"/>
        <v>18326.784</v>
      </c>
      <c r="G24" s="567"/>
    </row>
    <row r="25" spans="1:7">
      <c r="C25" s="566"/>
      <c r="D25" s="565"/>
      <c r="E25" s="564"/>
      <c r="G25" s="560"/>
    </row>
    <row r="26" spans="1:7">
      <c r="A26" s="557" t="s">
        <v>507</v>
      </c>
      <c r="C26" s="570">
        <f>C20-C24</f>
        <v>11789.735999999997</v>
      </c>
      <c r="D26" s="569"/>
      <c r="E26" s="568">
        <f>E20-E24</f>
        <v>22713.216</v>
      </c>
      <c r="G26" s="567"/>
    </row>
    <row r="27" spans="1:7" ht="17.25" thickBot="1">
      <c r="C27" s="566"/>
      <c r="D27" s="565"/>
      <c r="E27" s="564"/>
      <c r="G27" s="560"/>
    </row>
    <row r="28" spans="1:7" ht="17.25" thickTop="1">
      <c r="A28" s="557" t="s">
        <v>506</v>
      </c>
      <c r="C28" s="563">
        <f>C26/C9</f>
        <v>224566.39999999997</v>
      </c>
      <c r="D28" s="562"/>
      <c r="E28" s="561">
        <f>E26/E9</f>
        <v>441033.32038834953</v>
      </c>
      <c r="G28" s="559"/>
    </row>
    <row r="29" spans="1:7">
      <c r="G29" s="560"/>
    </row>
    <row r="30" spans="1:7">
      <c r="A30" s="557" t="s">
        <v>597</v>
      </c>
      <c r="C30" s="711">
        <f>C28*0.15</f>
        <v>33684.959999999992</v>
      </c>
      <c r="E30" s="711">
        <f>E28*0.15</f>
        <v>66154.998058252429</v>
      </c>
      <c r="G30" s="559"/>
    </row>
    <row r="31" spans="1:7">
      <c r="E31" s="558"/>
    </row>
    <row r="32" spans="1:7">
      <c r="E32" s="558"/>
    </row>
  </sheetData>
  <sheetProtection algorithmName="SHA-512" hashValue="ADqG2oZ18r7L4fMlVc4KsEzntC2wNauNlfFJfigmjWjwh10L8arkyGer63pHpRMSYmXvE08yRbWCJ6sLY/KqLQ==" saltValue="MVERYFFwkBpvQbezA3nU5A==" spinCount="100000" sheet="1" objects="1" scenarios="1"/>
  <customSheetViews>
    <customSheetView guid="{12DF92E2-F0A4-4522-953F-2BCAD962F9B1}" showGridLines="0" fitToPage="1">
      <selection activeCell="E28" sqref="E28"/>
      <pageMargins left="0.7" right="0.7" top="0.75" bottom="0.75" header="0.3" footer="0.3"/>
      <pageSetup orientation="landscape" horizontalDpi="1200" verticalDpi="1200" r:id="rId1"/>
    </customSheetView>
    <customSheetView guid="{CDF0923A-CEB9-47A0-BB71-B372AD18A6C5}" showGridLines="0" fitToPage="1">
      <selection activeCell="E28" sqref="E28"/>
      <pageMargins left="0.7" right="0.7" top="0.75" bottom="0.75" header="0.3" footer="0.3"/>
      <pageSetup orientation="landscape" horizontalDpi="1200" verticalDpi="1200" r:id="rId2"/>
    </customSheetView>
    <customSheetView guid="{1CB7F20C-5BCB-4F31-A665-EF07F93D0225}" showGridLines="0" fitToPage="1">
      <selection activeCell="E28" sqref="E28"/>
      <pageMargins left="0.7" right="0.7" top="0.75" bottom="0.75" header="0.3" footer="0.3"/>
      <pageSetup orientation="landscape" horizontalDpi="1200" verticalDpi="1200" r:id="rId3"/>
    </customSheetView>
    <customSheetView guid="{A3C5269A-712A-445D-A52D-32C4B0B08868}" showGridLines="0" fitToPage="1">
      <selection activeCell="E28" sqref="E28"/>
      <pageMargins left="0.7" right="0.7" top="0.75" bottom="0.75" header="0.3" footer="0.3"/>
      <pageSetup orientation="landscape" horizontalDpi="1200" verticalDpi="1200" r:id="rId4"/>
    </customSheetView>
    <customSheetView guid="{D2801948-3667-42F1-A855-2C3A7F5D75C1}" showGridLines="0" fitToPage="1">
      <selection activeCell="E28" sqref="E28"/>
      <pageMargins left="0.7" right="0.7" top="0.75" bottom="0.75" header="0.3" footer="0.3"/>
      <pageSetup orientation="landscape" horizontalDpi="1200" verticalDpi="1200" r:id="rId5"/>
    </customSheetView>
    <customSheetView guid="{6B8B0E6B-B6D7-44A4-A1E7-F92938C31FF1}" showGridLines="0" fitToPage="1">
      <selection activeCell="E28" sqref="E28"/>
      <pageMargins left="0.7" right="0.7" top="0.75" bottom="0.75" header="0.3" footer="0.3"/>
      <pageSetup orientation="landscape" horizontalDpi="1200" verticalDpi="1200" r:id="rId6"/>
    </customSheetView>
    <customSheetView guid="{E6F23B71-2871-41D0-8B3E-C5A92D17DA9C}" showGridLines="0" fitToPage="1">
      <selection activeCell="E28" sqref="E28"/>
      <pageMargins left="0.7" right="0.7" top="0.75" bottom="0.75" header="0.3" footer="0.3"/>
      <pageSetup orientation="landscape" horizontalDpi="1200" verticalDpi="1200" r:id="rId7"/>
    </customSheetView>
    <customSheetView guid="{3D995FFA-456E-4A0A-AF78-CD5180B1C163}" showGridLines="0" fitToPage="1">
      <selection activeCell="E28" sqref="E28"/>
      <pageMargins left="0.7" right="0.7" top="0.75" bottom="0.75" header="0.3" footer="0.3"/>
      <pageSetup orientation="landscape" horizontalDpi="1200" verticalDpi="1200" r:id="rId8"/>
    </customSheetView>
    <customSheetView guid="{F7AAF2C2-30F8-4A4D-9DCA-2CE431E237EF}" showGridLines="0" fitToPage="1">
      <selection activeCell="E28" sqref="E28"/>
      <pageMargins left="0.7" right="0.7" top="0.75" bottom="0.75" header="0.3" footer="0.3"/>
      <pageSetup orientation="landscape" horizontalDpi="1200" verticalDpi="1200" r:id="rId9"/>
    </customSheetView>
    <customSheetView guid="{CF016ED8-8B91-4622-8F1B-C12FD046BBA3}" showGridLines="0" fitToPage="1">
      <selection activeCell="E28" sqref="E28"/>
      <pageMargins left="0.7" right="0.7" top="0.75" bottom="0.75" header="0.3" footer="0.3"/>
      <pageSetup orientation="landscape" horizontalDpi="1200" verticalDpi="1200" r:id="rId10"/>
    </customSheetView>
    <customSheetView guid="{A948BEAA-C943-439F-A074-9FFD96C20787}" showGridLines="0" fitToPage="1">
      <selection activeCell="E28" sqref="E28"/>
      <pageMargins left="0.7" right="0.7" top="0.75" bottom="0.75" header="0.3" footer="0.3"/>
      <pageSetup orientation="landscape" horizontalDpi="1200" verticalDpi="1200" r:id="rId11"/>
    </customSheetView>
    <customSheetView guid="{F15FCE5B-4793-4E19-BCC1-0B2A44E18C59}" showGridLines="0" fitToPage="1">
      <selection activeCell="E28" sqref="E28"/>
      <pageMargins left="0.7" right="0.7" top="0.75" bottom="0.75" header="0.3" footer="0.3"/>
      <pageSetup orientation="landscape" horizontalDpi="1200" verticalDpi="1200" r:id="rId12"/>
    </customSheetView>
    <customSheetView guid="{C758BCB7-A66F-4816-80B2-6959FA24FF89}" showGridLines="0" fitToPage="1">
      <selection activeCell="E28" sqref="E28"/>
      <pageMargins left="0.7" right="0.7" top="0.75" bottom="0.75" header="0.3" footer="0.3"/>
      <pageSetup orientation="landscape" horizontalDpi="1200" verticalDpi="1200" r:id="rId13"/>
    </customSheetView>
  </customSheetViews>
  <pageMargins left="0.7" right="0.7" top="0.75" bottom="0.75" header="0.3" footer="0.3"/>
  <pageSetup orientation="landscape" horizontalDpi="1200" verticalDpi="1200"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9"/>
  <sheetViews>
    <sheetView showGridLines="0" workbookViewId="0">
      <selection sqref="A1:XFD1048576"/>
    </sheetView>
  </sheetViews>
  <sheetFormatPr defaultColWidth="8.85546875" defaultRowHeight="16.5"/>
  <cols>
    <col min="1" max="1" width="8.85546875" style="590"/>
    <col min="2" max="2" width="22.5703125" style="590" bestFit="1" customWidth="1"/>
    <col min="3" max="3" width="8.85546875" style="590"/>
    <col min="4" max="4" width="8.85546875" style="590" customWidth="1"/>
    <col min="5" max="10" width="8.85546875" style="590"/>
    <col min="11" max="11" width="10.7109375" style="590" bestFit="1" customWidth="1"/>
    <col min="12" max="12" width="14.85546875" style="590" bestFit="1" customWidth="1"/>
    <col min="13" max="13" width="11" style="590" bestFit="1" customWidth="1"/>
    <col min="14" max="16384" width="8.85546875" style="590"/>
  </cols>
  <sheetData>
    <row r="1" spans="2:13">
      <c r="B1" s="594"/>
      <c r="D1" s="619"/>
      <c r="E1" s="620"/>
      <c r="F1" s="618"/>
      <c r="G1" s="618"/>
      <c r="H1" s="618"/>
      <c r="K1" s="619" t="s">
        <v>598</v>
      </c>
      <c r="L1" s="617"/>
      <c r="M1" s="617"/>
    </row>
    <row r="2" spans="2:13">
      <c r="B2" s="594"/>
      <c r="D2" s="617"/>
      <c r="E2" s="618"/>
      <c r="F2" s="618"/>
      <c r="G2" s="618"/>
      <c r="H2" s="618"/>
      <c r="K2" s="617"/>
      <c r="L2" s="617"/>
      <c r="M2" s="617"/>
    </row>
    <row r="3" spans="2:13">
      <c r="B3" s="594" t="s">
        <v>531</v>
      </c>
      <c r="D3" s="616" t="s">
        <v>530</v>
      </c>
      <c r="E3" s="616" t="s">
        <v>529</v>
      </c>
      <c r="F3" s="616" t="s">
        <v>528</v>
      </c>
      <c r="G3" s="616" t="s">
        <v>527</v>
      </c>
      <c r="H3" s="616" t="s">
        <v>526</v>
      </c>
      <c r="K3" s="615" t="s">
        <v>504</v>
      </c>
      <c r="L3" s="615" t="s">
        <v>286</v>
      </c>
      <c r="M3" s="615" t="s">
        <v>298</v>
      </c>
    </row>
    <row r="4" spans="2:13">
      <c r="B4" s="614" t="s">
        <v>525</v>
      </c>
      <c r="D4" s="603">
        <v>511.34999999999997</v>
      </c>
      <c r="E4" s="603">
        <v>584.4</v>
      </c>
      <c r="F4" s="603">
        <v>657.44999999999993</v>
      </c>
      <c r="G4" s="603">
        <v>730.5</v>
      </c>
      <c r="H4" s="603">
        <v>788.93999999999994</v>
      </c>
      <c r="K4" s="613" t="s">
        <v>502</v>
      </c>
      <c r="L4" s="612">
        <v>0</v>
      </c>
      <c r="M4" s="611">
        <v>0</v>
      </c>
    </row>
    <row r="5" spans="2:13">
      <c r="B5" s="614" t="s">
        <v>524</v>
      </c>
      <c r="D5" s="603">
        <v>1022.6999999999999</v>
      </c>
      <c r="E5" s="603">
        <v>1168.8</v>
      </c>
      <c r="F5" s="603">
        <v>1314.8999999999999</v>
      </c>
      <c r="G5" s="603">
        <v>1461</v>
      </c>
      <c r="H5" s="603">
        <v>1577.8799999999999</v>
      </c>
      <c r="K5" s="613" t="s">
        <v>497</v>
      </c>
      <c r="L5" s="612">
        <v>0</v>
      </c>
      <c r="M5" s="611">
        <v>0</v>
      </c>
    </row>
    <row r="6" spans="2:13">
      <c r="B6" s="614" t="s">
        <v>523</v>
      </c>
      <c r="D6" s="603">
        <v>1363.6</v>
      </c>
      <c r="E6" s="603">
        <v>1558.3999999999999</v>
      </c>
      <c r="F6" s="603">
        <v>1753.1999999999998</v>
      </c>
      <c r="G6" s="603">
        <v>1948</v>
      </c>
      <c r="H6" s="603">
        <v>2103.84</v>
      </c>
      <c r="K6" s="613" t="s">
        <v>496</v>
      </c>
      <c r="L6" s="612">
        <v>1</v>
      </c>
      <c r="M6" s="611">
        <v>0.15</v>
      </c>
    </row>
    <row r="7" spans="2:13">
      <c r="B7" s="614" t="s">
        <v>522</v>
      </c>
      <c r="D7" s="603">
        <v>2045.3999999999999</v>
      </c>
      <c r="E7" s="603">
        <v>2337.6</v>
      </c>
      <c r="F7" s="603">
        <v>2629.7999999999997</v>
      </c>
      <c r="G7" s="603">
        <v>2922</v>
      </c>
      <c r="H7" s="603">
        <v>3155.7599999999998</v>
      </c>
      <c r="K7" s="613" t="s">
        <v>503</v>
      </c>
      <c r="L7" s="612">
        <v>0</v>
      </c>
      <c r="M7" s="611">
        <v>0</v>
      </c>
    </row>
    <row r="8" spans="2:13">
      <c r="B8" s="607" t="s">
        <v>521</v>
      </c>
      <c r="C8" s="606"/>
      <c r="D8" s="610">
        <f>SUMPRODUCT(D4:D7,$L$4:$L$7)</f>
        <v>1363.6</v>
      </c>
      <c r="E8" s="610">
        <f t="shared" ref="E8:H8" si="0">SUMPRODUCT(E4:E7,$L$4:$L$7)</f>
        <v>1558.3999999999999</v>
      </c>
      <c r="F8" s="610">
        <f t="shared" si="0"/>
        <v>1753.1999999999998</v>
      </c>
      <c r="G8" s="610">
        <f t="shared" si="0"/>
        <v>1948</v>
      </c>
      <c r="H8" s="610">
        <f t="shared" si="0"/>
        <v>2103.84</v>
      </c>
      <c r="K8" s="609" t="s">
        <v>55</v>
      </c>
      <c r="L8" s="608">
        <f>SUM(L4:L7)</f>
        <v>1</v>
      </c>
      <c r="M8" s="608">
        <f>SUM(M4:M7)</f>
        <v>0.15</v>
      </c>
    </row>
    <row r="9" spans="2:13">
      <c r="B9" s="594"/>
      <c r="D9" s="603"/>
      <c r="E9" s="603"/>
      <c r="F9" s="603"/>
      <c r="G9" s="603"/>
      <c r="H9" s="603"/>
      <c r="K9" s="605"/>
      <c r="L9" s="604"/>
      <c r="M9" s="604"/>
    </row>
  </sheetData>
  <sheetProtection algorithmName="SHA-512" hashValue="Ga1SWtbHlNDOiRm2OfmBzP6r6SaeAeZ7uzb/qjPb2XuQtkRkOKOy/JrKa+z5zquFztH2UJHG8IR1x7xu2i4tRA==" saltValue="3rksla7t4FuDwm3xlWUgIA==" spinCount="100000" sheet="1" objects="1" scenarios="1"/>
  <customSheetViews>
    <customSheetView guid="{12DF92E2-F0A4-4522-953F-2BCAD962F9B1}" showGridLines="0">
      <selection activeCell="M30" sqref="M30:N30"/>
      <pageMargins left="0.7" right="0.7" top="0.75" bottom="0.75" header="0.3" footer="0.3"/>
    </customSheetView>
    <customSheetView guid="{CDF0923A-CEB9-47A0-BB71-B372AD18A6C5}" showGridLines="0">
      <selection activeCell="M30" sqref="M30:N30"/>
      <pageMargins left="0.7" right="0.7" top="0.75" bottom="0.75" header="0.3" footer="0.3"/>
    </customSheetView>
    <customSheetView guid="{1CB7F20C-5BCB-4F31-A665-EF07F93D0225}" showGridLines="0">
      <selection activeCell="M30" sqref="M30:N30"/>
      <pageMargins left="0.7" right="0.7" top="0.75" bottom="0.75" header="0.3" footer="0.3"/>
    </customSheetView>
    <customSheetView guid="{A3C5269A-712A-445D-A52D-32C4B0B08868}" showGridLines="0">
      <selection activeCell="M30" sqref="M30:N30"/>
      <pageMargins left="0.7" right="0.7" top="0.75" bottom="0.75" header="0.3" footer="0.3"/>
    </customSheetView>
    <customSheetView guid="{D2801948-3667-42F1-A855-2C3A7F5D75C1}" showGridLines="0">
      <selection activeCell="M30" sqref="M30:N30"/>
      <pageMargins left="0.7" right="0.7" top="0.75" bottom="0.75" header="0.3" footer="0.3"/>
    </customSheetView>
    <customSheetView guid="{6B8B0E6B-B6D7-44A4-A1E7-F92938C31FF1}" showGridLines="0">
      <selection activeCell="M30" sqref="M30:N30"/>
      <pageMargins left="0.7" right="0.7" top="0.75" bottom="0.75" header="0.3" footer="0.3"/>
    </customSheetView>
    <customSheetView guid="{E6F23B71-2871-41D0-8B3E-C5A92D17DA9C}" showGridLines="0">
      <selection activeCell="M30" sqref="M30:N30"/>
      <pageMargins left="0.7" right="0.7" top="0.75" bottom="0.75" header="0.3" footer="0.3"/>
    </customSheetView>
    <customSheetView guid="{3D995FFA-456E-4A0A-AF78-CD5180B1C163}" showGridLines="0">
      <selection activeCell="M30" sqref="M30:N30"/>
      <pageMargins left="0.7" right="0.7" top="0.75" bottom="0.75" header="0.3" footer="0.3"/>
    </customSheetView>
    <customSheetView guid="{F7AAF2C2-30F8-4A4D-9DCA-2CE431E237EF}" showGridLines="0">
      <selection activeCell="M30" sqref="M30:N30"/>
      <pageMargins left="0.7" right="0.7" top="0.75" bottom="0.75" header="0.3" footer="0.3"/>
    </customSheetView>
    <customSheetView guid="{CF016ED8-8B91-4622-8F1B-C12FD046BBA3}" showGridLines="0">
      <selection activeCell="M30" sqref="M30:N30"/>
      <pageMargins left="0.7" right="0.7" top="0.75" bottom="0.75" header="0.3" footer="0.3"/>
    </customSheetView>
    <customSheetView guid="{A948BEAA-C943-439F-A074-9FFD96C20787}" showGridLines="0">
      <selection activeCell="M30" sqref="M30:N30"/>
      <pageMargins left="0.7" right="0.7" top="0.75" bottom="0.75" header="0.3" footer="0.3"/>
    </customSheetView>
    <customSheetView guid="{F15FCE5B-4793-4E19-BCC1-0B2A44E18C59}" showGridLines="0">
      <selection activeCell="M30" sqref="M30:N30"/>
      <pageMargins left="0.7" right="0.7" top="0.75" bottom="0.75" header="0.3" footer="0.3"/>
    </customSheetView>
    <customSheetView guid="{C758BCB7-A66F-4816-80B2-6959FA24FF89}" showGridLines="0">
      <selection activeCell="M30" sqref="M30:N3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7"/>
  <sheetViews>
    <sheetView showGridLines="0" topLeftCell="A28" workbookViewId="0">
      <selection activeCell="L53" sqref="L53"/>
    </sheetView>
  </sheetViews>
  <sheetFormatPr defaultColWidth="8.85546875" defaultRowHeight="16.5"/>
  <cols>
    <col min="1" max="1" width="47.140625" style="557" bestFit="1" customWidth="1"/>
    <col min="2" max="2" width="2.140625" style="557" customWidth="1"/>
    <col min="3" max="3" width="16.7109375" style="557" bestFit="1" customWidth="1"/>
    <col min="4" max="4" width="0.85546875" style="557" customWidth="1"/>
    <col min="5" max="5" width="16.7109375" style="557" bestFit="1" customWidth="1"/>
    <col min="6" max="6" width="8.85546875" style="557"/>
    <col min="7" max="7" width="32.5703125" style="557" bestFit="1" customWidth="1"/>
    <col min="8" max="9" width="14" style="557" bestFit="1" customWidth="1"/>
    <col min="10" max="10" width="1.7109375" style="557" customWidth="1"/>
    <col min="11" max="12" width="14" style="557" bestFit="1" customWidth="1"/>
    <col min="13" max="16384" width="8.85546875" style="557"/>
  </cols>
  <sheetData>
    <row r="1" spans="1:7">
      <c r="A1" s="601" t="s">
        <v>520</v>
      </c>
      <c r="B1" s="602"/>
      <c r="C1" s="602"/>
      <c r="D1" s="602"/>
      <c r="E1" s="602"/>
    </row>
    <row r="2" spans="1:7" ht="4.1500000000000004" customHeight="1"/>
    <row r="3" spans="1:7">
      <c r="A3" s="601" t="s">
        <v>519</v>
      </c>
      <c r="B3" s="600"/>
      <c r="C3" s="599" t="s">
        <v>617</v>
      </c>
      <c r="D3" s="599"/>
      <c r="E3" s="599"/>
    </row>
    <row r="4" spans="1:7" ht="6.6" customHeight="1"/>
    <row r="5" spans="1:7">
      <c r="A5" s="598" t="s">
        <v>518</v>
      </c>
      <c r="B5" s="598"/>
      <c r="C5" s="597" t="s">
        <v>386</v>
      </c>
      <c r="D5" s="596"/>
      <c r="E5" s="595" t="s">
        <v>232</v>
      </c>
      <c r="G5" s="560"/>
    </row>
    <row r="6" spans="1:7" s="590" customFormat="1" ht="6" customHeight="1">
      <c r="A6" s="594"/>
      <c r="B6" s="594"/>
      <c r="C6" s="593"/>
      <c r="D6" s="592"/>
      <c r="E6" s="591"/>
      <c r="G6" s="560"/>
    </row>
    <row r="7" spans="1:7">
      <c r="A7" s="557" t="s">
        <v>517</v>
      </c>
      <c r="C7" s="589">
        <v>777</v>
      </c>
      <c r="D7" s="588"/>
      <c r="E7" s="587">
        <v>800</v>
      </c>
      <c r="G7" s="560"/>
    </row>
    <row r="8" spans="1:7">
      <c r="A8" s="557" t="s">
        <v>516</v>
      </c>
      <c r="C8" s="586">
        <v>3.4</v>
      </c>
      <c r="D8" s="565"/>
      <c r="E8" s="585">
        <v>4.5</v>
      </c>
      <c r="G8" s="584"/>
    </row>
    <row r="9" spans="1:7">
      <c r="A9" s="557" t="s">
        <v>515</v>
      </c>
      <c r="C9" s="583">
        <v>5.2499999999999998E-2</v>
      </c>
      <c r="D9" s="565"/>
      <c r="E9" s="582">
        <v>5.1499999999999997E-2</v>
      </c>
      <c r="G9" s="581"/>
    </row>
    <row r="10" spans="1:7">
      <c r="C10" s="566"/>
      <c r="D10" s="565"/>
      <c r="E10" s="564"/>
      <c r="G10" s="560"/>
    </row>
    <row r="11" spans="1:7">
      <c r="A11" s="557" t="s">
        <v>514</v>
      </c>
      <c r="C11" s="573"/>
      <c r="D11" s="565"/>
      <c r="E11" s="572"/>
      <c r="G11" s="560"/>
    </row>
    <row r="12" spans="1:7">
      <c r="A12" s="571" t="str">
        <f>'BMR Rents_Staff_50AMI'!$D$3</f>
        <v>Studio</v>
      </c>
      <c r="B12" s="571"/>
      <c r="C12" s="580">
        <v>0</v>
      </c>
      <c r="D12" s="565"/>
      <c r="E12" s="579">
        <v>0</v>
      </c>
      <c r="G12" s="578"/>
    </row>
    <row r="13" spans="1:7">
      <c r="A13" s="571" t="str">
        <f>'BMR Rents_Staff_50AMI'!$E$3</f>
        <v>1 BR</v>
      </c>
      <c r="B13" s="571"/>
      <c r="C13" s="580">
        <v>1</v>
      </c>
      <c r="D13" s="565"/>
      <c r="E13" s="579">
        <v>1</v>
      </c>
      <c r="G13" s="578"/>
    </row>
    <row r="14" spans="1:7">
      <c r="A14" s="571" t="str">
        <f>'BMR Rents_Staff_50AMI'!$F$3</f>
        <v>2 BR</v>
      </c>
      <c r="B14" s="571"/>
      <c r="C14" s="580">
        <v>0</v>
      </c>
      <c r="D14" s="565"/>
      <c r="E14" s="579">
        <v>0</v>
      </c>
      <c r="G14" s="578"/>
    </row>
    <row r="15" spans="1:7">
      <c r="A15" s="571" t="str">
        <f>'BMR Rents_Staff_50AMI'!$G$3</f>
        <v>3 BR</v>
      </c>
      <c r="B15" s="571"/>
      <c r="C15" s="580">
        <v>0</v>
      </c>
      <c r="D15" s="565"/>
      <c r="E15" s="579">
        <v>0</v>
      </c>
      <c r="G15" s="578"/>
    </row>
    <row r="16" spans="1:7">
      <c r="A16" s="571" t="str">
        <f>'BMR Rents_Staff_50AMI'!$H$3</f>
        <v>4 BR</v>
      </c>
      <c r="B16" s="571"/>
      <c r="C16" s="580">
        <v>0</v>
      </c>
      <c r="D16" s="565"/>
      <c r="E16" s="579">
        <v>0</v>
      </c>
      <c r="G16" s="578"/>
    </row>
    <row r="17" spans="1:12">
      <c r="C17" s="575"/>
      <c r="D17" s="565"/>
      <c r="E17" s="574"/>
      <c r="G17" s="560"/>
    </row>
    <row r="18" spans="1:12">
      <c r="A18" s="557" t="s">
        <v>513</v>
      </c>
      <c r="C18" s="575">
        <f>C8*C7*12</f>
        <v>31701.599999999999</v>
      </c>
      <c r="D18" s="567"/>
      <c r="E18" s="574">
        <f>E8*E7*12</f>
        <v>43200</v>
      </c>
      <c r="G18" s="567"/>
    </row>
    <row r="19" spans="1:12">
      <c r="A19" s="571" t="s">
        <v>512</v>
      </c>
      <c r="C19" s="575">
        <f t="shared" ref="C19:E19" si="0">-C18*5%</f>
        <v>-1585.08</v>
      </c>
      <c r="D19" s="567"/>
      <c r="E19" s="574">
        <f t="shared" si="0"/>
        <v>-2160</v>
      </c>
      <c r="G19" s="567"/>
    </row>
    <row r="20" spans="1:12">
      <c r="A20" s="557" t="s">
        <v>511</v>
      </c>
      <c r="C20" s="577">
        <f>SUM(C18:C19)</f>
        <v>30116.519999999997</v>
      </c>
      <c r="D20" s="567"/>
      <c r="E20" s="576">
        <f>SUM(E18:E19)</f>
        <v>41040</v>
      </c>
      <c r="G20" s="567"/>
    </row>
    <row r="21" spans="1:12">
      <c r="A21" s="571" t="s">
        <v>622</v>
      </c>
      <c r="C21" s="575">
        <f>0.2*C20</f>
        <v>6023.3040000000001</v>
      </c>
      <c r="D21" s="567"/>
      <c r="E21" s="574">
        <f>0.2*E20</f>
        <v>8208</v>
      </c>
      <c r="G21" s="567"/>
    </row>
    <row r="22" spans="1:12">
      <c r="C22" s="575"/>
      <c r="D22" s="565"/>
      <c r="E22" s="574"/>
      <c r="G22" s="560"/>
    </row>
    <row r="23" spans="1:12">
      <c r="A23" s="557" t="s">
        <v>510</v>
      </c>
      <c r="C23" s="575">
        <f>(C12*'BMR Rents_Staff_50AMI'!$D$9+C13*'BMR Rents_Staff_50AMI'!$E$9+C14*'BMR Rents_Staff_50AMI'!$F$9+C15*'BMR Rents_Staff_50AMI'!$G$9+C16*'BMR Rents_Staff_50AMI'!$H$9)*12</f>
        <v>11688</v>
      </c>
      <c r="D23" s="565"/>
      <c r="E23" s="574">
        <f>(E12*'BMR Rents_Staff_50AMI'!$D$9+E13*'BMR Rents_Staff_50AMI'!$E$9+E14*'BMR Rents_Staff_50AMI'!$F$9+E15*'BMR Rents_Staff_50AMI'!$G$9+E16*'BMR Rents_Staff_50AMI'!$H$9)*12</f>
        <v>11688</v>
      </c>
      <c r="G23" s="567"/>
    </row>
    <row r="24" spans="1:12">
      <c r="A24" s="571" t="s">
        <v>509</v>
      </c>
      <c r="B24" s="571"/>
      <c r="C24" s="573">
        <f>-C23*2%</f>
        <v>-233.76</v>
      </c>
      <c r="D24" s="565"/>
      <c r="E24" s="572">
        <f>-E23*2%</f>
        <v>-233.76</v>
      </c>
      <c r="G24" s="567"/>
    </row>
    <row r="25" spans="1:12">
      <c r="A25" s="557" t="s">
        <v>508</v>
      </c>
      <c r="B25" s="571"/>
      <c r="C25" s="570">
        <f t="shared" ref="C25:E25" si="1">SUM(C23:C24)</f>
        <v>11454.24</v>
      </c>
      <c r="D25" s="565"/>
      <c r="E25" s="568">
        <f t="shared" si="1"/>
        <v>11454.24</v>
      </c>
      <c r="G25" s="567"/>
    </row>
    <row r="26" spans="1:12">
      <c r="A26" s="718" t="s">
        <v>622</v>
      </c>
      <c r="B26" s="718"/>
      <c r="C26" s="575">
        <f>C21</f>
        <v>6023.3040000000001</v>
      </c>
      <c r="D26" s="560"/>
      <c r="E26" s="574">
        <f>E21</f>
        <v>8208</v>
      </c>
      <c r="G26" s="567"/>
    </row>
    <row r="27" spans="1:12">
      <c r="A27" s="590" t="s">
        <v>615</v>
      </c>
      <c r="B27" s="590"/>
      <c r="C27" s="575">
        <f>C25-C26</f>
        <v>5430.9359999999997</v>
      </c>
      <c r="D27" s="560"/>
      <c r="E27" s="574">
        <f>E25-E26</f>
        <v>3246.24</v>
      </c>
      <c r="G27" s="560"/>
    </row>
    <row r="28" spans="1:12" ht="17.25" thickBot="1">
      <c r="A28" s="557" t="s">
        <v>616</v>
      </c>
      <c r="C28" s="716">
        <v>0.05</v>
      </c>
      <c r="D28" s="565"/>
      <c r="E28" s="717">
        <v>0.05</v>
      </c>
      <c r="G28" s="560"/>
    </row>
    <row r="29" spans="1:12" ht="17.25" thickTop="1">
      <c r="A29" s="557" t="s">
        <v>618</v>
      </c>
      <c r="C29" s="563">
        <f>C27/C28</f>
        <v>108618.71999999999</v>
      </c>
      <c r="D29" s="562"/>
      <c r="E29" s="561">
        <f>E27/E28</f>
        <v>64924.799999999996</v>
      </c>
      <c r="G29" s="559"/>
    </row>
    <row r="30" spans="1:12">
      <c r="E30" s="558"/>
    </row>
    <row r="31" spans="1:12">
      <c r="E31" s="558"/>
      <c r="H31" s="867" t="s">
        <v>287</v>
      </c>
      <c r="I31" s="867"/>
      <c r="K31" s="867" t="s">
        <v>484</v>
      </c>
      <c r="L31" s="867"/>
    </row>
    <row r="32" spans="1:12" ht="30.75">
      <c r="C32" s="558"/>
      <c r="E32" s="558"/>
      <c r="H32" s="719" t="s">
        <v>605</v>
      </c>
      <c r="I32" s="719" t="s">
        <v>606</v>
      </c>
      <c r="K32" s="719" t="s">
        <v>605</v>
      </c>
      <c r="L32" s="719" t="s">
        <v>606</v>
      </c>
    </row>
    <row r="33" spans="3:12">
      <c r="G33" s="557" t="s">
        <v>631</v>
      </c>
      <c r="H33" s="721">
        <f>C29</f>
        <v>108618.71999999999</v>
      </c>
      <c r="I33" s="721">
        <f>H33</f>
        <v>108618.71999999999</v>
      </c>
      <c r="J33" s="711"/>
      <c r="K33" s="721">
        <f>E29</f>
        <v>64924.799999999996</v>
      </c>
      <c r="L33" s="721">
        <f>K33</f>
        <v>64924.799999999996</v>
      </c>
    </row>
    <row r="34" spans="3:12">
      <c r="G34" s="557" t="s">
        <v>607</v>
      </c>
      <c r="H34" s="721">
        <v>0</v>
      </c>
      <c r="I34" s="721">
        <f>I37-(I33+I35)</f>
        <v>233133.85366946791</v>
      </c>
      <c r="J34" s="711"/>
      <c r="K34" s="721">
        <v>0</v>
      </c>
      <c r="L34" s="721">
        <f>I34</f>
        <v>233133.85366946791</v>
      </c>
    </row>
    <row r="35" spans="3:12">
      <c r="G35" s="557" t="s">
        <v>638</v>
      </c>
      <c r="H35" s="721">
        <f>H37-H33</f>
        <v>358133.85366946791</v>
      </c>
      <c r="I35" s="721">
        <f>125000</f>
        <v>125000</v>
      </c>
      <c r="J35" s="711"/>
      <c r="K35" s="721">
        <f>K37-K33</f>
        <v>530437.43300970877</v>
      </c>
      <c r="L35" s="721">
        <f>L37-(L33+L34)</f>
        <v>297303.57934024092</v>
      </c>
    </row>
    <row r="36" spans="3:12">
      <c r="G36" s="557" t="s">
        <v>630</v>
      </c>
      <c r="H36" s="721">
        <v>53188</v>
      </c>
      <c r="I36" s="721">
        <f>H36</f>
        <v>53188</v>
      </c>
      <c r="J36" s="711"/>
      <c r="K36" s="721">
        <v>48055</v>
      </c>
      <c r="L36" s="721">
        <f>K36</f>
        <v>48055</v>
      </c>
    </row>
    <row r="37" spans="3:12">
      <c r="G37" s="557" t="s">
        <v>621</v>
      </c>
      <c r="H37" s="721">
        <v>466752.57366946788</v>
      </c>
      <c r="I37" s="721">
        <f>H37</f>
        <v>466752.57366946788</v>
      </c>
      <c r="J37" s="711"/>
      <c r="K37" s="721">
        <v>595362.23300970881</v>
      </c>
      <c r="L37" s="721">
        <f>K37</f>
        <v>595362.23300970881</v>
      </c>
    </row>
    <row r="47" spans="3:12">
      <c r="C47"/>
    </row>
  </sheetData>
  <sheetProtection algorithmName="SHA-512" hashValue="QPJju8lMEaBOhltwV2uXbzogJDydFqNEM6upQUrMvHXstkLGyPIQw+XYhxEOwpf95N+NbSPy9HDX5YFcSbQw+A==" saltValue="UX9AO56TZiEcZiTjN6/WFw==" spinCount="100000" sheet="1" objects="1" scenarios="1"/>
  <customSheetViews>
    <customSheetView guid="{12DF92E2-F0A4-4522-953F-2BCAD962F9B1}" showGridLines="0" fitToPage="1">
      <selection activeCell="M51" sqref="M51"/>
      <pageMargins left="0.7" right="0.7" top="0.75" bottom="0.75" header="0.3" footer="0.3"/>
      <pageSetup orientation="landscape" horizontalDpi="1200" verticalDpi="1200" r:id="rId1"/>
    </customSheetView>
    <customSheetView guid="{CDF0923A-CEB9-47A0-BB71-B372AD18A6C5}" showGridLines="0" fitToPage="1">
      <selection activeCell="M51" sqref="M51"/>
      <pageMargins left="0.7" right="0.7" top="0.75" bottom="0.75" header="0.3" footer="0.3"/>
      <pageSetup orientation="landscape" horizontalDpi="1200" verticalDpi="1200" r:id="rId2"/>
    </customSheetView>
    <customSheetView guid="{1CB7F20C-5BCB-4F31-A665-EF07F93D0225}" showGridLines="0" fitToPage="1">
      <selection activeCell="M51" sqref="M51"/>
      <pageMargins left="0.7" right="0.7" top="0.75" bottom="0.75" header="0.3" footer="0.3"/>
      <pageSetup orientation="landscape" horizontalDpi="1200" verticalDpi="1200" r:id="rId3"/>
    </customSheetView>
    <customSheetView guid="{A3C5269A-712A-445D-A52D-32C4B0B08868}" showGridLines="0" fitToPage="1">
      <selection activeCell="M51" sqref="M51"/>
      <pageMargins left="0.7" right="0.7" top="0.75" bottom="0.75" header="0.3" footer="0.3"/>
      <pageSetup orientation="landscape" horizontalDpi="1200" verticalDpi="1200" r:id="rId4"/>
    </customSheetView>
    <customSheetView guid="{D2801948-3667-42F1-A855-2C3A7F5D75C1}" showGridLines="0" fitToPage="1">
      <selection activeCell="M51" sqref="M51"/>
      <pageMargins left="0.7" right="0.7" top="0.75" bottom="0.75" header="0.3" footer="0.3"/>
      <pageSetup orientation="landscape" horizontalDpi="1200" verticalDpi="1200" r:id="rId5"/>
    </customSheetView>
    <customSheetView guid="{6B8B0E6B-B6D7-44A4-A1E7-F92938C31FF1}" showGridLines="0" fitToPage="1">
      <selection activeCell="M51" sqref="M51"/>
      <pageMargins left="0.7" right="0.7" top="0.75" bottom="0.75" header="0.3" footer="0.3"/>
      <pageSetup orientation="landscape" horizontalDpi="1200" verticalDpi="1200" r:id="rId6"/>
    </customSheetView>
    <customSheetView guid="{E6F23B71-2871-41D0-8B3E-C5A92D17DA9C}" showGridLines="0" fitToPage="1">
      <selection activeCell="M51" sqref="M51"/>
      <pageMargins left="0.7" right="0.7" top="0.75" bottom="0.75" header="0.3" footer="0.3"/>
      <pageSetup orientation="landscape" horizontalDpi="1200" verticalDpi="1200" r:id="rId7"/>
    </customSheetView>
    <customSheetView guid="{3D995FFA-456E-4A0A-AF78-CD5180B1C163}" showGridLines="0" fitToPage="1">
      <selection activeCell="C54" sqref="C54"/>
      <pageMargins left="0.7" right="0.7" top="0.75" bottom="0.75" header="0.3" footer="0.3"/>
      <pageSetup orientation="landscape" horizontalDpi="1200" verticalDpi="1200" r:id="rId8"/>
    </customSheetView>
    <customSheetView guid="{F7AAF2C2-30F8-4A4D-9DCA-2CE431E237EF}" showGridLines="0" fitToPage="1">
      <selection activeCell="M51" sqref="M51"/>
      <pageMargins left="0.7" right="0.7" top="0.75" bottom="0.75" header="0.3" footer="0.3"/>
      <pageSetup orientation="landscape" horizontalDpi="1200" verticalDpi="1200" r:id="rId9"/>
    </customSheetView>
    <customSheetView guid="{CF016ED8-8B91-4622-8F1B-C12FD046BBA3}" showGridLines="0" fitToPage="1">
      <selection activeCell="M51" sqref="M51"/>
      <pageMargins left="0.7" right="0.7" top="0.75" bottom="0.75" header="0.3" footer="0.3"/>
      <pageSetup orientation="landscape" horizontalDpi="1200" verticalDpi="1200" r:id="rId10"/>
    </customSheetView>
    <customSheetView guid="{A948BEAA-C943-439F-A074-9FFD96C20787}" showGridLines="0" fitToPage="1">
      <selection activeCell="M51" sqref="M51"/>
      <pageMargins left="0.7" right="0.7" top="0.75" bottom="0.75" header="0.3" footer="0.3"/>
      <pageSetup orientation="landscape" horizontalDpi="1200" verticalDpi="1200" r:id="rId11"/>
    </customSheetView>
    <customSheetView guid="{F15FCE5B-4793-4E19-BCC1-0B2A44E18C59}" showGridLines="0" fitToPage="1">
      <selection activeCell="M51" sqref="M51"/>
      <pageMargins left="0.7" right="0.7" top="0.75" bottom="0.75" header="0.3" footer="0.3"/>
      <pageSetup orientation="landscape" horizontalDpi="1200" verticalDpi="1200" r:id="rId12"/>
    </customSheetView>
    <customSheetView guid="{C758BCB7-A66F-4816-80B2-6959FA24FF89}" showGridLines="0" fitToPage="1">
      <selection activeCell="M51" sqref="M51"/>
      <pageMargins left="0.7" right="0.7" top="0.75" bottom="0.75" header="0.3" footer="0.3"/>
      <pageSetup orientation="landscape" horizontalDpi="1200" verticalDpi="1200" r:id="rId13"/>
    </customSheetView>
  </customSheetViews>
  <mergeCells count="2">
    <mergeCell ref="H31:I31"/>
    <mergeCell ref="K31:L31"/>
  </mergeCells>
  <pageMargins left="0.7" right="0.7" top="0.75" bottom="0.75" header="0.3" footer="0.3"/>
  <pageSetup orientation="landscape" horizontalDpi="1200" verticalDpi="1200" r:id="rId14"/>
  <drawing r:id="rId1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10"/>
  <sheetViews>
    <sheetView showGridLines="0" workbookViewId="0">
      <selection activeCell="M19" sqref="M19"/>
    </sheetView>
  </sheetViews>
  <sheetFormatPr defaultColWidth="8.85546875" defaultRowHeight="16.5"/>
  <cols>
    <col min="1" max="1" width="8.85546875" style="590"/>
    <col min="2" max="2" width="22.5703125" style="590" bestFit="1" customWidth="1"/>
    <col min="3" max="3" width="8.85546875" style="590"/>
    <col min="4" max="4" width="8.85546875" style="590" customWidth="1"/>
    <col min="5" max="10" width="8.85546875" style="590"/>
    <col min="11" max="11" width="10.7109375" style="590" bestFit="1" customWidth="1"/>
    <col min="12" max="12" width="14.85546875" style="590" bestFit="1" customWidth="1"/>
    <col min="13" max="13" width="11" style="590" bestFit="1" customWidth="1"/>
    <col min="14" max="16384" width="8.85546875" style="590"/>
  </cols>
  <sheetData>
    <row r="1" spans="2:13">
      <c r="B1" s="594"/>
      <c r="D1" s="619"/>
      <c r="E1" s="620"/>
      <c r="F1" s="618"/>
      <c r="G1" s="618"/>
      <c r="H1" s="618"/>
      <c r="K1" s="619" t="s">
        <v>598</v>
      </c>
      <c r="L1" s="617"/>
      <c r="M1" s="617"/>
    </row>
    <row r="2" spans="2:13">
      <c r="B2" s="594"/>
      <c r="D2" s="617"/>
      <c r="E2" s="618"/>
      <c r="F2" s="618"/>
      <c r="G2" s="618"/>
      <c r="H2" s="618"/>
      <c r="K2" s="617"/>
      <c r="L2" s="617"/>
      <c r="M2" s="617"/>
    </row>
    <row r="3" spans="2:13">
      <c r="B3" s="594" t="s">
        <v>531</v>
      </c>
      <c r="D3" s="616" t="s">
        <v>530</v>
      </c>
      <c r="E3" s="616" t="s">
        <v>529</v>
      </c>
      <c r="F3" s="616" t="s">
        <v>528</v>
      </c>
      <c r="G3" s="616" t="s">
        <v>527</v>
      </c>
      <c r="H3" s="616" t="s">
        <v>526</v>
      </c>
      <c r="K3" s="615" t="s">
        <v>504</v>
      </c>
      <c r="L3" s="615" t="s">
        <v>286</v>
      </c>
      <c r="M3" s="615" t="s">
        <v>298</v>
      </c>
    </row>
    <row r="4" spans="2:13">
      <c r="B4" s="614" t="s">
        <v>525</v>
      </c>
      <c r="D4" s="603">
        <v>511.34999999999997</v>
      </c>
      <c r="E4" s="603">
        <v>584.4</v>
      </c>
      <c r="F4" s="603">
        <v>657.44999999999993</v>
      </c>
      <c r="G4" s="603">
        <v>730.5</v>
      </c>
      <c r="H4" s="603">
        <v>788.93999999999994</v>
      </c>
      <c r="K4" s="613" t="s">
        <v>502</v>
      </c>
      <c r="L4" s="612">
        <v>0</v>
      </c>
      <c r="M4" s="611">
        <v>0</v>
      </c>
    </row>
    <row r="5" spans="2:13">
      <c r="B5" s="614" t="s">
        <v>619</v>
      </c>
      <c r="D5" s="603">
        <v>852.25</v>
      </c>
      <c r="E5" s="603">
        <v>974</v>
      </c>
      <c r="F5" s="603">
        <v>1095.75</v>
      </c>
      <c r="G5" s="603">
        <v>1217.5</v>
      </c>
      <c r="H5" s="603">
        <v>1314.8999999999999</v>
      </c>
      <c r="K5" s="613" t="s">
        <v>620</v>
      </c>
      <c r="L5" s="612">
        <v>1</v>
      </c>
      <c r="M5" s="611">
        <v>0.15</v>
      </c>
    </row>
    <row r="6" spans="2:13">
      <c r="B6" s="614" t="s">
        <v>524</v>
      </c>
      <c r="D6" s="603">
        <v>1022.6999999999999</v>
      </c>
      <c r="E6" s="603">
        <v>1168.8</v>
      </c>
      <c r="F6" s="603">
        <v>1314.8999999999999</v>
      </c>
      <c r="G6" s="603">
        <v>1461</v>
      </c>
      <c r="H6" s="603">
        <v>1577.8799999999999</v>
      </c>
      <c r="K6" s="613" t="s">
        <v>497</v>
      </c>
      <c r="L6" s="612">
        <v>0</v>
      </c>
      <c r="M6" s="611">
        <v>0</v>
      </c>
    </row>
    <row r="7" spans="2:13">
      <c r="B7" s="614" t="s">
        <v>523</v>
      </c>
      <c r="D7" s="603">
        <v>1363.6</v>
      </c>
      <c r="E7" s="603">
        <v>1558.3999999999999</v>
      </c>
      <c r="F7" s="603">
        <v>1753.1999999999998</v>
      </c>
      <c r="G7" s="603">
        <v>1948</v>
      </c>
      <c r="H7" s="603">
        <v>2103.84</v>
      </c>
      <c r="K7" s="613" t="s">
        <v>496</v>
      </c>
      <c r="L7" s="612">
        <v>0</v>
      </c>
      <c r="M7" s="611">
        <v>0</v>
      </c>
    </row>
    <row r="8" spans="2:13">
      <c r="B8" s="614" t="s">
        <v>522</v>
      </c>
      <c r="D8" s="603">
        <v>2045.3999999999999</v>
      </c>
      <c r="E8" s="603">
        <v>2337.6</v>
      </c>
      <c r="F8" s="603">
        <v>2629.7999999999997</v>
      </c>
      <c r="G8" s="603">
        <v>2922</v>
      </c>
      <c r="H8" s="603">
        <v>3155.7599999999998</v>
      </c>
      <c r="K8" s="613" t="s">
        <v>503</v>
      </c>
      <c r="L8" s="612">
        <v>0</v>
      </c>
      <c r="M8" s="611">
        <v>0</v>
      </c>
    </row>
    <row r="9" spans="2:13">
      <c r="B9" s="607" t="s">
        <v>521</v>
      </c>
      <c r="C9" s="606"/>
      <c r="D9" s="610">
        <f>SUMPRODUCT(D4:D8,$L$4:$L$8)</f>
        <v>852.25</v>
      </c>
      <c r="E9" s="610">
        <f t="shared" ref="E9:H9" si="0">SUMPRODUCT(E4:E8,$L$4:$L$8)</f>
        <v>974</v>
      </c>
      <c r="F9" s="610">
        <f t="shared" si="0"/>
        <v>1095.75</v>
      </c>
      <c r="G9" s="610">
        <f t="shared" si="0"/>
        <v>1217.5</v>
      </c>
      <c r="H9" s="610">
        <f t="shared" si="0"/>
        <v>1314.8999999999999</v>
      </c>
      <c r="K9" s="609" t="s">
        <v>55</v>
      </c>
      <c r="L9" s="608">
        <f>SUM(L4:L8)</f>
        <v>1</v>
      </c>
      <c r="M9" s="608">
        <f>SUM(M4:M8)</f>
        <v>0.15</v>
      </c>
    </row>
    <row r="10" spans="2:13">
      <c r="B10" s="594"/>
      <c r="D10" s="603"/>
      <c r="E10" s="603"/>
      <c r="F10" s="603"/>
      <c r="G10" s="603"/>
      <c r="H10" s="603"/>
      <c r="K10" s="605"/>
      <c r="L10" s="604"/>
      <c r="M10" s="604"/>
    </row>
  </sheetData>
  <sheetProtection algorithmName="SHA-512" hashValue="WoVwzRBHfreJJMgai1+IQVv30MLmDVrlTSz6xXJ40laE29Om8wzGRrEdA9tERgzhd4GD24adHDOiyZw1uzTOuQ==" saltValue="jKoSZ/Rrjc/o4ugfW9ankA==" spinCount="100000" sheet="1" objects="1" scenarios="1"/>
  <customSheetViews>
    <customSheetView guid="{12DF92E2-F0A4-4522-953F-2BCAD962F9B1}" showGridLines="0">
      <selection activeCell="E9" sqref="E9"/>
      <pageMargins left="0.7" right="0.7" top="0.75" bottom="0.75" header="0.3" footer="0.3"/>
    </customSheetView>
    <customSheetView guid="{CDF0923A-CEB9-47A0-BB71-B372AD18A6C5}" showGridLines="0">
      <selection activeCell="E9" sqref="E9"/>
      <pageMargins left="0.7" right="0.7" top="0.75" bottom="0.75" header="0.3" footer="0.3"/>
    </customSheetView>
    <customSheetView guid="{1CB7F20C-5BCB-4F31-A665-EF07F93D0225}" showGridLines="0">
      <selection activeCell="E9" sqref="E9"/>
      <pageMargins left="0.7" right="0.7" top="0.75" bottom="0.75" header="0.3" footer="0.3"/>
    </customSheetView>
    <customSheetView guid="{A3C5269A-712A-445D-A52D-32C4B0B08868}" showGridLines="0">
      <selection activeCell="E9" sqref="E9"/>
      <pageMargins left="0.7" right="0.7" top="0.75" bottom="0.75" header="0.3" footer="0.3"/>
    </customSheetView>
    <customSheetView guid="{D2801948-3667-42F1-A855-2C3A7F5D75C1}" showGridLines="0">
      <selection activeCell="E9" sqref="E9"/>
      <pageMargins left="0.7" right="0.7" top="0.75" bottom="0.75" header="0.3" footer="0.3"/>
    </customSheetView>
    <customSheetView guid="{6B8B0E6B-B6D7-44A4-A1E7-F92938C31FF1}" showGridLines="0">
      <selection activeCell="E9" sqref="E9"/>
      <pageMargins left="0.7" right="0.7" top="0.75" bottom="0.75" header="0.3" footer="0.3"/>
    </customSheetView>
    <customSheetView guid="{E6F23B71-2871-41D0-8B3E-C5A92D17DA9C}" showGridLines="0">
      <selection activeCell="E9" sqref="E9"/>
      <pageMargins left="0.7" right="0.7" top="0.75" bottom="0.75" header="0.3" footer="0.3"/>
    </customSheetView>
    <customSheetView guid="{3D995FFA-456E-4A0A-AF78-CD5180B1C163}" showGridLines="0">
      <selection activeCell="E9" sqref="E9"/>
      <pageMargins left="0.7" right="0.7" top="0.75" bottom="0.75" header="0.3" footer="0.3"/>
    </customSheetView>
    <customSheetView guid="{F7AAF2C2-30F8-4A4D-9DCA-2CE431E237EF}" showGridLines="0">
      <selection activeCell="E9" sqref="E9"/>
      <pageMargins left="0.7" right="0.7" top="0.75" bottom="0.75" header="0.3" footer="0.3"/>
    </customSheetView>
    <customSheetView guid="{CF016ED8-8B91-4622-8F1B-C12FD046BBA3}" showGridLines="0">
      <selection activeCell="E9" sqref="E9"/>
      <pageMargins left="0.7" right="0.7" top="0.75" bottom="0.75" header="0.3" footer="0.3"/>
    </customSheetView>
    <customSheetView guid="{A948BEAA-C943-439F-A074-9FFD96C20787}" showGridLines="0">
      <selection activeCell="E9" sqref="E9"/>
      <pageMargins left="0.7" right="0.7" top="0.75" bottom="0.75" header="0.3" footer="0.3"/>
    </customSheetView>
    <customSheetView guid="{F15FCE5B-4793-4E19-BCC1-0B2A44E18C59}" showGridLines="0">
      <selection activeCell="E9" sqref="E9"/>
      <pageMargins left="0.7" right="0.7" top="0.75" bottom="0.75" header="0.3" footer="0.3"/>
    </customSheetView>
    <customSheetView guid="{C758BCB7-A66F-4816-80B2-6959FA24FF89}" showGridLines="0">
      <selection activeCell="E9" sqref="E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21"/>
  <sheetViews>
    <sheetView workbookViewId="0">
      <selection sqref="A1:XFD1048576"/>
    </sheetView>
  </sheetViews>
  <sheetFormatPr defaultRowHeight="15"/>
  <cols>
    <col min="1" max="1" width="20.140625" bestFit="1" customWidth="1"/>
  </cols>
  <sheetData>
    <row r="1" spans="1:5">
      <c r="A1" s="4" t="s">
        <v>485</v>
      </c>
      <c r="B1" s="206" t="s">
        <v>263</v>
      </c>
      <c r="C1" s="206" t="s">
        <v>264</v>
      </c>
      <c r="D1" s="206" t="s">
        <v>265</v>
      </c>
      <c r="E1" s="206" t="s">
        <v>266</v>
      </c>
    </row>
    <row r="2" spans="1:5">
      <c r="A2" s="232">
        <v>1</v>
      </c>
      <c r="B2" s="198">
        <v>11500</v>
      </c>
      <c r="C2" s="198">
        <v>22000</v>
      </c>
      <c r="D2" s="198">
        <f>$C2</f>
        <v>22000</v>
      </c>
      <c r="E2" s="198">
        <f>$C2</f>
        <v>22000</v>
      </c>
    </row>
    <row r="3" spans="1:5">
      <c r="A3" s="232">
        <v>2</v>
      </c>
      <c r="B3" s="198">
        <v>9250</v>
      </c>
      <c r="C3" s="198">
        <v>17750</v>
      </c>
      <c r="D3" s="198">
        <f>$C3</f>
        <v>17750</v>
      </c>
      <c r="E3" s="198">
        <f>$C3</f>
        <v>17750</v>
      </c>
    </row>
    <row r="4" spans="1:5">
      <c r="A4" s="232">
        <v>3</v>
      </c>
      <c r="B4" s="198">
        <v>0</v>
      </c>
      <c r="C4" s="198">
        <v>3000</v>
      </c>
      <c r="D4" s="198">
        <v>6000</v>
      </c>
      <c r="E4" s="198">
        <v>12000</v>
      </c>
    </row>
    <row r="5" spans="1:5">
      <c r="A5" t="s">
        <v>270</v>
      </c>
      <c r="B5" s="198">
        <v>12000</v>
      </c>
      <c r="C5" s="198">
        <v>20000</v>
      </c>
      <c r="D5" s="198">
        <f>$C5</f>
        <v>20000</v>
      </c>
      <c r="E5" s="198">
        <f>$C5</f>
        <v>20000</v>
      </c>
    </row>
    <row r="6" spans="1:5">
      <c r="A6" t="s">
        <v>271</v>
      </c>
      <c r="B6" s="198">
        <v>7200</v>
      </c>
      <c r="C6" s="198">
        <v>14250</v>
      </c>
      <c r="D6" s="198">
        <f>$C6</f>
        <v>14250</v>
      </c>
      <c r="E6" s="198">
        <v>1168.8</v>
      </c>
    </row>
    <row r="7" spans="1:5">
      <c r="A7" t="s">
        <v>272</v>
      </c>
      <c r="B7" s="198">
        <v>0</v>
      </c>
      <c r="C7" s="198">
        <v>1000</v>
      </c>
      <c r="D7" s="198">
        <v>4000</v>
      </c>
      <c r="E7" s="198">
        <v>8000</v>
      </c>
    </row>
    <row r="8" spans="1:5">
      <c r="A8" t="s">
        <v>267</v>
      </c>
      <c r="B8" s="198">
        <v>12500</v>
      </c>
      <c r="C8" s="198">
        <v>23000</v>
      </c>
      <c r="D8" s="198">
        <f>$C8</f>
        <v>23000</v>
      </c>
      <c r="E8" s="198">
        <f>$C8</f>
        <v>23000</v>
      </c>
    </row>
    <row r="9" spans="1:5">
      <c r="A9" t="s">
        <v>269</v>
      </c>
      <c r="B9" s="198">
        <v>9000</v>
      </c>
      <c r="C9" s="198">
        <v>16500</v>
      </c>
      <c r="D9" s="198">
        <f>$C9</f>
        <v>16500</v>
      </c>
      <c r="E9" s="198">
        <f>$C9</f>
        <v>16500</v>
      </c>
    </row>
    <row r="10" spans="1:5">
      <c r="A10" t="s">
        <v>268</v>
      </c>
      <c r="B10" s="198">
        <v>0</v>
      </c>
      <c r="C10" s="198">
        <v>1000</v>
      </c>
      <c r="D10" s="198">
        <v>4000</v>
      </c>
      <c r="E10" s="198">
        <v>8000</v>
      </c>
    </row>
    <row r="11" spans="1:5">
      <c r="A11" t="s">
        <v>488</v>
      </c>
      <c r="B11" s="233">
        <v>5.44</v>
      </c>
      <c r="C11" s="233"/>
      <c r="D11" s="233"/>
      <c r="E11" s="233">
        <v>6</v>
      </c>
    </row>
    <row r="12" spans="1:5">
      <c r="B12" s="233"/>
      <c r="C12" s="233"/>
      <c r="D12" s="233"/>
      <c r="E12" s="233"/>
    </row>
    <row r="13" spans="1:5">
      <c r="B13" s="233"/>
      <c r="C13" s="233"/>
      <c r="D13" s="233"/>
      <c r="E13" s="233"/>
    </row>
    <row r="14" spans="1:5">
      <c r="B14" s="233"/>
      <c r="C14" s="233"/>
      <c r="D14" s="233"/>
      <c r="E14" s="233"/>
    </row>
    <row r="15" spans="1:5">
      <c r="B15" s="233"/>
      <c r="C15" s="233"/>
      <c r="D15" s="233"/>
      <c r="E15" s="233"/>
    </row>
    <row r="16" spans="1:5">
      <c r="B16" s="233"/>
      <c r="C16" s="233"/>
      <c r="D16" s="233"/>
      <c r="E16" s="233"/>
    </row>
    <row r="17" spans="2:5">
      <c r="B17" s="233"/>
      <c r="C17" s="233"/>
      <c r="D17" s="233"/>
      <c r="E17" s="233"/>
    </row>
    <row r="18" spans="2:5">
      <c r="B18" s="233"/>
      <c r="C18" s="233"/>
      <c r="D18" s="233"/>
      <c r="E18" s="233"/>
    </row>
    <row r="19" spans="2:5">
      <c r="B19" s="233"/>
      <c r="C19" s="233"/>
      <c r="D19" s="233"/>
      <c r="E19" s="233"/>
    </row>
    <row r="20" spans="2:5">
      <c r="B20" s="233"/>
      <c r="C20" s="233"/>
      <c r="D20" s="233"/>
      <c r="E20" s="233"/>
    </row>
    <row r="21" spans="2:5">
      <c r="B21" s="233"/>
      <c r="C21" s="233"/>
      <c r="D21" s="233"/>
      <c r="E21" s="233"/>
    </row>
  </sheetData>
  <sheetProtection algorithmName="SHA-512" hashValue="1Rk7mUrQ6Ux9ceebfcxYk7pIRvRF6HzY6nx5a206qTnmWDN0ApLvXS0nHCNxxDKR+l8PXCi2dnDBpUCTloXb/Q==" saltValue="EXvEYw6/6vIz180Eqz00pQ==" spinCount="100000" sheet="1" objects="1" scenarios="1"/>
  <customSheetViews>
    <customSheetView guid="{12DF92E2-F0A4-4522-953F-2BCAD962F9B1}">
      <selection activeCell="G2" sqref="G2"/>
      <pageMargins left="0.7" right="0.7" top="0.75" bottom="0.75" header="0.3" footer="0.3"/>
    </customSheetView>
    <customSheetView guid="{CDF0923A-CEB9-47A0-BB71-B372AD18A6C5}">
      <selection activeCell="G2" sqref="G2"/>
      <pageMargins left="0.7" right="0.7" top="0.75" bottom="0.75" header="0.3" footer="0.3"/>
    </customSheetView>
    <customSheetView guid="{1CB7F20C-5BCB-4F31-A665-EF07F93D0225}">
      <selection activeCell="G2" sqref="G2"/>
      <pageMargins left="0.7" right="0.7" top="0.75" bottom="0.75" header="0.3" footer="0.3"/>
    </customSheetView>
    <customSheetView guid="{A3C5269A-712A-445D-A52D-32C4B0B08868}">
      <selection activeCell="G2" sqref="G2"/>
      <pageMargins left="0.7" right="0.7" top="0.75" bottom="0.75" header="0.3" footer="0.3"/>
    </customSheetView>
    <customSheetView guid="{D2801948-3667-42F1-A855-2C3A7F5D75C1}">
      <selection activeCell="G2" sqref="G2"/>
      <pageMargins left="0.7" right="0.7" top="0.75" bottom="0.75" header="0.3" footer="0.3"/>
    </customSheetView>
    <customSheetView guid="{6B8B0E6B-B6D7-44A4-A1E7-F92938C31FF1}">
      <selection activeCell="G2" sqref="G2"/>
      <pageMargins left="0.7" right="0.7" top="0.75" bottom="0.75" header="0.3" footer="0.3"/>
    </customSheetView>
    <customSheetView guid="{E6F23B71-2871-41D0-8B3E-C5A92D17DA9C}">
      <selection activeCell="G2" sqref="G2"/>
      <pageMargins left="0.7" right="0.7" top="0.75" bottom="0.75" header="0.3" footer="0.3"/>
    </customSheetView>
    <customSheetView guid="{105E85B8-9A7A-4110-9634-CB22952476CC}">
      <selection activeCell="E10" sqref="E10"/>
      <pageMargins left="0.7" right="0.7" top="0.75" bottom="0.75" header="0.3" footer="0.3"/>
    </customSheetView>
    <customSheetView guid="{3F467621-6324-4266-A1CB-A00C20E99D00}">
      <selection activeCell="E10" sqref="E10"/>
      <pageMargins left="0.7" right="0.7" top="0.75" bottom="0.75" header="0.3" footer="0.3"/>
    </customSheetView>
    <customSheetView guid="{FC75C57A-A981-40F1-A712-EAFC64AB1BBD}">
      <selection activeCell="E10" sqref="E10"/>
      <pageMargins left="0.7" right="0.7" top="0.75" bottom="0.75" header="0.3" footer="0.3"/>
    </customSheetView>
    <customSheetView guid="{5FF6C677-6BD3-4CC5-98C1-BA95F6DE7B70}">
      <selection activeCell="E10" sqref="E10"/>
      <pageMargins left="0.7" right="0.7" top="0.75" bottom="0.75" header="0.3" footer="0.3"/>
    </customSheetView>
    <customSheetView guid="{3D995FFA-456E-4A0A-AF78-CD5180B1C163}">
      <selection activeCell="G2" sqref="G2"/>
      <pageMargins left="0.7" right="0.7" top="0.75" bottom="0.75" header="0.3" footer="0.3"/>
    </customSheetView>
    <customSheetView guid="{F7AAF2C2-30F8-4A4D-9DCA-2CE431E237EF}">
      <selection activeCell="G2" sqref="G2"/>
      <pageMargins left="0.7" right="0.7" top="0.75" bottom="0.75" header="0.3" footer="0.3"/>
    </customSheetView>
    <customSheetView guid="{CF016ED8-8B91-4622-8F1B-C12FD046BBA3}">
      <selection activeCell="G2" sqref="G2"/>
      <pageMargins left="0.7" right="0.7" top="0.75" bottom="0.75" header="0.3" footer="0.3"/>
    </customSheetView>
    <customSheetView guid="{A948BEAA-C943-439F-A074-9FFD96C20787}">
      <selection activeCell="G2" sqref="G2"/>
      <pageMargins left="0.7" right="0.7" top="0.75" bottom="0.75" header="0.3" footer="0.3"/>
    </customSheetView>
    <customSheetView guid="{F15FCE5B-4793-4E19-BCC1-0B2A44E18C59}">
      <selection activeCell="G2" sqref="G2"/>
      <pageMargins left="0.7" right="0.7" top="0.75" bottom="0.75" header="0.3" footer="0.3"/>
    </customSheetView>
    <customSheetView guid="{C758BCB7-A66F-4816-80B2-6959FA24FF89}">
      <selection activeCell="G2" sqref="G2"/>
      <pageMargins left="0.7" right="0.7" top="0.75" bottom="0.75" header="0.3" footer="0.3"/>
    </customSheetView>
  </customSheetView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sqref="A1:XFD1048576"/>
    </sheetView>
  </sheetViews>
  <sheetFormatPr defaultRowHeight="15"/>
  <cols>
    <col min="2" max="2" width="28.42578125" bestFit="1" customWidth="1"/>
    <col min="3" max="3" width="8.140625" bestFit="1" customWidth="1"/>
    <col min="4" max="4" width="10.140625" bestFit="1" customWidth="1"/>
  </cols>
  <sheetData>
    <row r="1" spans="1:10">
      <c r="C1" s="204">
        <v>0</v>
      </c>
      <c r="D1" s="204">
        <v>1</v>
      </c>
      <c r="E1" s="204">
        <v>0.8</v>
      </c>
      <c r="F1" s="204">
        <v>1</v>
      </c>
      <c r="G1" s="204">
        <v>0.5</v>
      </c>
      <c r="H1" s="204"/>
      <c r="I1" s="204"/>
      <c r="J1" s="204"/>
    </row>
    <row r="2" spans="1:10">
      <c r="A2" s="4" t="s">
        <v>256</v>
      </c>
      <c r="B2" s="4" t="s">
        <v>257</v>
      </c>
      <c r="C2" s="206" t="s">
        <v>498</v>
      </c>
      <c r="D2" s="206" t="s">
        <v>499</v>
      </c>
      <c r="E2" s="206" t="s">
        <v>500</v>
      </c>
      <c r="F2" s="206" t="s">
        <v>470</v>
      </c>
      <c r="G2" s="206" t="s">
        <v>501</v>
      </c>
      <c r="H2" s="551"/>
      <c r="I2" s="551"/>
      <c r="J2" s="551"/>
    </row>
    <row r="3" spans="1:10">
      <c r="A3" t="s">
        <v>248</v>
      </c>
      <c r="B3" t="s">
        <v>249</v>
      </c>
      <c r="C3" s="204">
        <f>C1</f>
        <v>0</v>
      </c>
      <c r="D3" s="204">
        <f>D1</f>
        <v>1</v>
      </c>
      <c r="E3" s="204">
        <f>E1</f>
        <v>0.8</v>
      </c>
      <c r="F3" s="204">
        <f>F1</f>
        <v>1</v>
      </c>
      <c r="G3" s="204">
        <f>G1</f>
        <v>0.5</v>
      </c>
      <c r="H3" s="204"/>
      <c r="I3" s="204"/>
      <c r="J3" s="204"/>
    </row>
    <row r="4" spans="1:10">
      <c r="A4" t="s">
        <v>251</v>
      </c>
      <c r="B4" t="s">
        <v>250</v>
      </c>
      <c r="C4" s="204">
        <f>0.25*0.29</f>
        <v>7.2499999999999995E-2</v>
      </c>
      <c r="D4" s="204">
        <f>0.25*0.29</f>
        <v>7.2499999999999995E-2</v>
      </c>
      <c r="E4" s="204">
        <f>0.25*0.29</f>
        <v>7.2499999999999995E-2</v>
      </c>
      <c r="F4" s="204">
        <f>0.25*0.29</f>
        <v>7.2499999999999995E-2</v>
      </c>
      <c r="G4" s="204">
        <f>0.25*0.29</f>
        <v>7.2499999999999995E-2</v>
      </c>
      <c r="H4" s="204"/>
      <c r="I4" s="204"/>
      <c r="J4" s="204"/>
    </row>
    <row r="5" spans="1:10">
      <c r="A5" t="s">
        <v>252</v>
      </c>
      <c r="B5" t="s">
        <v>253</v>
      </c>
      <c r="C5" s="205">
        <f>C1</f>
        <v>0</v>
      </c>
      <c r="D5" s="205">
        <f>D1</f>
        <v>1</v>
      </c>
      <c r="E5" s="205">
        <f>E1</f>
        <v>0.8</v>
      </c>
      <c r="F5" s="205">
        <f>F1</f>
        <v>1</v>
      </c>
      <c r="G5" s="205">
        <f>G1</f>
        <v>0.5</v>
      </c>
      <c r="H5" s="205"/>
      <c r="I5" s="205"/>
      <c r="J5" s="205"/>
    </row>
    <row r="6" spans="1:10">
      <c r="A6" t="s">
        <v>254</v>
      </c>
      <c r="B6" t="s">
        <v>255</v>
      </c>
      <c r="C6" s="205">
        <v>1</v>
      </c>
      <c r="D6" s="205">
        <v>1</v>
      </c>
      <c r="E6" s="205">
        <v>1168.8</v>
      </c>
      <c r="F6" s="205">
        <v>1</v>
      </c>
      <c r="G6" s="205">
        <v>1</v>
      </c>
      <c r="H6" s="205"/>
      <c r="I6" s="205"/>
      <c r="J6" s="205"/>
    </row>
    <row r="9" spans="1:10">
      <c r="B9" t="s">
        <v>491</v>
      </c>
      <c r="C9" s="204">
        <f>C4*3</f>
        <v>0.21749999999999997</v>
      </c>
    </row>
    <row r="10" spans="1:10">
      <c r="B10" t="s">
        <v>492</v>
      </c>
      <c r="C10" s="527">
        <f>1-C9-C4</f>
        <v>0.71</v>
      </c>
    </row>
  </sheetData>
  <sheetProtection algorithmName="SHA-512" hashValue="I9crWwjAhg/BdjiCB7dTVLGohHu8LqAXULN2zYa1i0bLcpapMzWxie0G8mdoN0NRJyAo+oCtO0AgHo2B+/ywmA==" saltValue="lbpvEnv8ovY9j58Ekxojog==" spinCount="100000" sheet="1" objects="1" scenarios="1"/>
  <customSheetViews>
    <customSheetView guid="{12DF92E2-F0A4-4522-953F-2BCAD962F9B1}">
      <selection activeCell="C4" sqref="C4"/>
      <pageMargins left="0.7" right="0.7" top="0.75" bottom="0.75" header="0.3" footer="0.3"/>
      <pageSetup orientation="portrait" r:id="rId1"/>
    </customSheetView>
    <customSheetView guid="{CDF0923A-CEB9-47A0-BB71-B372AD18A6C5}">
      <selection activeCell="C4" sqref="C4"/>
      <pageMargins left="0.7" right="0.7" top="0.75" bottom="0.75" header="0.3" footer="0.3"/>
      <pageSetup orientation="portrait" r:id="rId2"/>
    </customSheetView>
    <customSheetView guid="{1CB7F20C-5BCB-4F31-A665-EF07F93D0225}">
      <selection activeCell="C4" sqref="C4"/>
      <pageMargins left="0.7" right="0.7" top="0.75" bottom="0.75" header="0.3" footer="0.3"/>
      <pageSetup orientation="portrait" r:id="rId3"/>
    </customSheetView>
    <customSheetView guid="{A3C5269A-712A-445D-A52D-32C4B0B08868}">
      <selection activeCell="C4" sqref="C4"/>
      <pageMargins left="0.7" right="0.7" top="0.75" bottom="0.75" header="0.3" footer="0.3"/>
      <pageSetup orientation="portrait" r:id="rId4"/>
    </customSheetView>
    <customSheetView guid="{D2801948-3667-42F1-A855-2C3A7F5D75C1}">
      <selection activeCell="C4" sqref="C4"/>
      <pageMargins left="0.7" right="0.7" top="0.75" bottom="0.75" header="0.3" footer="0.3"/>
      <pageSetup orientation="portrait" r:id="rId5"/>
    </customSheetView>
    <customSheetView guid="{6B8B0E6B-B6D7-44A4-A1E7-F92938C31FF1}">
      <selection activeCell="C4" sqref="C4"/>
      <pageMargins left="0.7" right="0.7" top="0.75" bottom="0.75" header="0.3" footer="0.3"/>
      <pageSetup orientation="portrait" r:id="rId6"/>
    </customSheetView>
    <customSheetView guid="{E6F23B71-2871-41D0-8B3E-C5A92D17DA9C}">
      <selection activeCell="C4" sqref="C4"/>
      <pageMargins left="0.7" right="0.7" top="0.75" bottom="0.75" header="0.3" footer="0.3"/>
      <pageSetup orientation="portrait" r:id="rId7"/>
    </customSheetView>
    <customSheetView guid="{105E85B8-9A7A-4110-9634-CB22952476CC}">
      <selection activeCell="C4" sqref="C4"/>
      <pageMargins left="0.7" right="0.7" top="0.75" bottom="0.75" header="0.3" footer="0.3"/>
      <pageSetup orientation="portrait" r:id="rId8"/>
    </customSheetView>
    <customSheetView guid="{3F467621-6324-4266-A1CB-A00C20E99D00}">
      <selection activeCell="C4" sqref="C4"/>
      <pageMargins left="0.7" right="0.7" top="0.75" bottom="0.75" header="0.3" footer="0.3"/>
      <pageSetup orientation="portrait" r:id="rId9"/>
    </customSheetView>
    <customSheetView guid="{FC75C57A-A981-40F1-A712-EAFC64AB1BBD}">
      <selection activeCell="C4" sqref="C4"/>
      <pageMargins left="0.7" right="0.7" top="0.75" bottom="0.75" header="0.3" footer="0.3"/>
      <pageSetup orientation="portrait" r:id="rId10"/>
    </customSheetView>
    <customSheetView guid="{5FF6C677-6BD3-4CC5-98C1-BA95F6DE7B70}">
      <selection activeCell="D5" sqref="D5"/>
      <pageMargins left="0.7" right="0.7" top="0.75" bottom="0.75" header="0.3" footer="0.3"/>
      <pageSetup orientation="portrait" r:id="rId11"/>
    </customSheetView>
    <customSheetView guid="{3D995FFA-456E-4A0A-AF78-CD5180B1C163}">
      <selection activeCell="C4" sqref="C4"/>
      <pageMargins left="0.7" right="0.7" top="0.75" bottom="0.75" header="0.3" footer="0.3"/>
      <pageSetup orientation="portrait" r:id="rId12"/>
    </customSheetView>
    <customSheetView guid="{F7AAF2C2-30F8-4A4D-9DCA-2CE431E237EF}">
      <selection activeCell="C4" sqref="C4"/>
      <pageMargins left="0.7" right="0.7" top="0.75" bottom="0.75" header="0.3" footer="0.3"/>
      <pageSetup orientation="portrait" r:id="rId13"/>
    </customSheetView>
    <customSheetView guid="{CF016ED8-8B91-4622-8F1B-C12FD046BBA3}">
      <selection activeCell="C4" sqref="C4"/>
      <pageMargins left="0.7" right="0.7" top="0.75" bottom="0.75" header="0.3" footer="0.3"/>
      <pageSetup orientation="portrait" r:id="rId14"/>
    </customSheetView>
    <customSheetView guid="{A948BEAA-C943-439F-A074-9FFD96C20787}">
      <selection activeCell="C4" sqref="C4"/>
      <pageMargins left="0.7" right="0.7" top="0.75" bottom="0.75" header="0.3" footer="0.3"/>
      <pageSetup orientation="portrait" r:id="rId15"/>
    </customSheetView>
    <customSheetView guid="{F15FCE5B-4793-4E19-BCC1-0B2A44E18C59}">
      <selection activeCell="C4" sqref="C4"/>
      <pageMargins left="0.7" right="0.7" top="0.75" bottom="0.75" header="0.3" footer="0.3"/>
      <pageSetup orientation="portrait" r:id="rId16"/>
    </customSheetView>
    <customSheetView guid="{C758BCB7-A66F-4816-80B2-6959FA24FF89}">
      <selection activeCell="C4" sqref="C4"/>
      <pageMargins left="0.7" right="0.7" top="0.75" bottom="0.75" header="0.3" footer="0.3"/>
      <pageSetup orientation="portrait" r:id="rId17"/>
    </customSheetView>
  </customSheetViews>
  <pageMargins left="0.7" right="0.7" top="0.75" bottom="0.75" header="0.3" footer="0.3"/>
  <pageSetup orientation="portrait" r:id="rId1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0"/>
  <sheetViews>
    <sheetView workbookViewId="0">
      <selection activeCell="L21" sqref="L21"/>
    </sheetView>
  </sheetViews>
  <sheetFormatPr defaultRowHeight="15"/>
  <cols>
    <col min="1" max="1" width="11" bestFit="1" customWidth="1"/>
    <col min="2" max="2" width="11.42578125" bestFit="1" customWidth="1"/>
    <col min="3" max="3" width="16.85546875" customWidth="1"/>
    <col min="4" max="4" width="13.7109375" bestFit="1" customWidth="1"/>
    <col min="5" max="5" width="16.5703125" customWidth="1"/>
    <col min="6" max="6" width="17.85546875" customWidth="1"/>
  </cols>
  <sheetData>
    <row r="1" spans="1:8">
      <c r="B1" s="4" t="s">
        <v>104</v>
      </c>
      <c r="C1" s="4" t="s">
        <v>115</v>
      </c>
      <c r="D1" t="s">
        <v>103</v>
      </c>
      <c r="E1" t="s">
        <v>111</v>
      </c>
      <c r="F1" t="s">
        <v>112</v>
      </c>
      <c r="H1" s="33">
        <v>0.35</v>
      </c>
    </row>
    <row r="2" spans="1:8">
      <c r="A2" t="s">
        <v>41</v>
      </c>
      <c r="C2" s="32">
        <v>90</v>
      </c>
      <c r="D2" t="s">
        <v>230</v>
      </c>
      <c r="E2" t="s">
        <v>5</v>
      </c>
      <c r="F2" t="s">
        <v>113</v>
      </c>
    </row>
    <row r="3" spans="1:8">
      <c r="A3" t="s">
        <v>40</v>
      </c>
      <c r="C3" s="32">
        <v>90</v>
      </c>
      <c r="D3" t="s">
        <v>230</v>
      </c>
      <c r="E3" t="s">
        <v>5</v>
      </c>
      <c r="F3" t="s">
        <v>113</v>
      </c>
    </row>
    <row r="4" spans="1:8">
      <c r="A4" t="s">
        <v>47</v>
      </c>
      <c r="B4">
        <v>75</v>
      </c>
      <c r="C4">
        <v>275</v>
      </c>
      <c r="E4" t="s">
        <v>5</v>
      </c>
      <c r="F4" t="s">
        <v>113</v>
      </c>
    </row>
    <row r="5" spans="1:8">
      <c r="A5" t="s">
        <v>70</v>
      </c>
      <c r="B5">
        <v>35</v>
      </c>
      <c r="C5">
        <v>550</v>
      </c>
      <c r="D5" t="s">
        <v>228</v>
      </c>
      <c r="F5" t="s">
        <v>114</v>
      </c>
    </row>
    <row r="6" spans="1:8">
      <c r="A6" t="s">
        <v>43</v>
      </c>
      <c r="B6" t="s">
        <v>109</v>
      </c>
      <c r="C6">
        <v>375</v>
      </c>
      <c r="D6" t="s">
        <v>229</v>
      </c>
      <c r="E6">
        <v>1168.8</v>
      </c>
      <c r="F6" t="s">
        <v>113</v>
      </c>
    </row>
    <row r="7" spans="1:8">
      <c r="A7" t="s">
        <v>48</v>
      </c>
      <c r="C7">
        <v>130</v>
      </c>
      <c r="E7" t="s">
        <v>5</v>
      </c>
    </row>
    <row r="8" spans="1:8">
      <c r="A8" t="s">
        <v>393</v>
      </c>
      <c r="B8">
        <v>45</v>
      </c>
      <c r="C8">
        <v>450</v>
      </c>
      <c r="D8" t="s">
        <v>406</v>
      </c>
    </row>
    <row r="9" spans="1:8">
      <c r="A9" t="s">
        <v>68</v>
      </c>
      <c r="B9">
        <v>7</v>
      </c>
      <c r="C9">
        <v>679</v>
      </c>
      <c r="D9" t="s">
        <v>108</v>
      </c>
      <c r="E9" t="s">
        <v>5</v>
      </c>
      <c r="F9" t="s">
        <v>113</v>
      </c>
    </row>
    <row r="10" spans="1:8">
      <c r="A10" t="s">
        <v>44</v>
      </c>
      <c r="C10">
        <v>0</v>
      </c>
      <c r="D10" t="s">
        <v>107</v>
      </c>
      <c r="E10" t="s">
        <v>5</v>
      </c>
      <c r="F10" t="s">
        <v>113</v>
      </c>
    </row>
    <row r="11" spans="1:8">
      <c r="A11" t="s">
        <v>116</v>
      </c>
      <c r="C11">
        <v>12000</v>
      </c>
      <c r="D11" t="s">
        <v>20</v>
      </c>
      <c r="F11" t="s">
        <v>114</v>
      </c>
    </row>
    <row r="12" spans="1:8">
      <c r="A12" t="s">
        <v>398</v>
      </c>
      <c r="C12">
        <v>6500</v>
      </c>
      <c r="D12" t="s">
        <v>407</v>
      </c>
    </row>
    <row r="13" spans="1:8">
      <c r="A13" t="s">
        <v>396</v>
      </c>
      <c r="C13">
        <v>1500</v>
      </c>
      <c r="D13" t="s">
        <v>394</v>
      </c>
    </row>
    <row r="14" spans="1:8">
      <c r="A14" t="s">
        <v>45</v>
      </c>
      <c r="C14">
        <v>1100</v>
      </c>
      <c r="D14" t="s">
        <v>227</v>
      </c>
      <c r="F14" t="s">
        <v>114</v>
      </c>
    </row>
    <row r="15" spans="1:8">
      <c r="A15" t="s">
        <v>46</v>
      </c>
      <c r="B15">
        <v>45</v>
      </c>
      <c r="C15">
        <v>450</v>
      </c>
      <c r="E15" t="s">
        <v>5</v>
      </c>
      <c r="F15" t="s">
        <v>113</v>
      </c>
    </row>
    <row r="16" spans="1:8">
      <c r="A16" t="s">
        <v>69</v>
      </c>
      <c r="B16">
        <v>45</v>
      </c>
      <c r="C16">
        <v>450</v>
      </c>
      <c r="D16" t="s">
        <v>106</v>
      </c>
      <c r="E16" t="s">
        <v>5</v>
      </c>
      <c r="F16" t="s">
        <v>113</v>
      </c>
    </row>
    <row r="17" spans="1:6">
      <c r="A17" t="s">
        <v>42</v>
      </c>
      <c r="B17">
        <v>45</v>
      </c>
      <c r="C17">
        <v>450</v>
      </c>
      <c r="E17" t="s">
        <v>5</v>
      </c>
      <c r="F17" t="s">
        <v>113</v>
      </c>
    </row>
    <row r="18" spans="1:6">
      <c r="A18" t="s">
        <v>105</v>
      </c>
      <c r="C18">
        <v>5000</v>
      </c>
      <c r="D18" t="s">
        <v>408</v>
      </c>
      <c r="F18" t="s">
        <v>114</v>
      </c>
    </row>
    <row r="19" spans="1:6">
      <c r="A19" t="s">
        <v>231</v>
      </c>
      <c r="C19">
        <v>90</v>
      </c>
    </row>
    <row r="20" spans="1:6">
      <c r="A20" t="s">
        <v>421</v>
      </c>
      <c r="C20">
        <v>90</v>
      </c>
    </row>
  </sheetData>
  <sheetProtection algorithmName="SHA-512" hashValue="Afncgn+PpKJuVu0LeyFL3S0PPbCgpSAHTZ2lfN787EVb1jbZJ8t2el1QWYQOuNablB+Pcu3WmSDcRqnt3EybeQ==" saltValue="45D1xEFIFjiRQ4ffPMHwXA==" spinCount="100000" sheet="1" objects="1" scenarios="1"/>
  <customSheetViews>
    <customSheetView guid="{12DF92E2-F0A4-4522-953F-2BCAD962F9B1}">
      <selection activeCell="A13" sqref="A13"/>
      <pageMargins left="0.7" right="0.7" top="0.75" bottom="0.75" header="0.3" footer="0.3"/>
      <pageSetup orientation="portrait" r:id="rId1"/>
    </customSheetView>
    <customSheetView guid="{CDF0923A-CEB9-47A0-BB71-B372AD18A6C5}">
      <selection activeCell="A13" sqref="A13"/>
      <pageMargins left="0.7" right="0.7" top="0.75" bottom="0.75" header="0.3" footer="0.3"/>
      <pageSetup orientation="portrait" r:id="rId2"/>
    </customSheetView>
    <customSheetView guid="{1CB7F20C-5BCB-4F31-A665-EF07F93D0225}">
      <selection activeCell="A13" sqref="A13"/>
      <pageMargins left="0.7" right="0.7" top="0.75" bottom="0.75" header="0.3" footer="0.3"/>
      <pageSetup orientation="portrait" r:id="rId3"/>
    </customSheetView>
    <customSheetView guid="{A3C5269A-712A-445D-A52D-32C4B0B08868}">
      <selection activeCell="A13" sqref="A13"/>
      <pageMargins left="0.7" right="0.7" top="0.75" bottom="0.75" header="0.3" footer="0.3"/>
      <pageSetup orientation="portrait" r:id="rId4"/>
    </customSheetView>
    <customSheetView guid="{D2801948-3667-42F1-A855-2C3A7F5D75C1}">
      <selection activeCell="A13" sqref="A13"/>
      <pageMargins left="0.7" right="0.7" top="0.75" bottom="0.75" header="0.3" footer="0.3"/>
      <pageSetup orientation="portrait" r:id="rId5"/>
    </customSheetView>
    <customSheetView guid="{6B8B0E6B-B6D7-44A4-A1E7-F92938C31FF1}">
      <selection activeCell="A13" sqref="A13"/>
      <pageMargins left="0.7" right="0.7" top="0.75" bottom="0.75" header="0.3" footer="0.3"/>
      <pageSetup orientation="portrait" r:id="rId6"/>
    </customSheetView>
    <customSheetView guid="{E6F23B71-2871-41D0-8B3E-C5A92D17DA9C}">
      <selection activeCell="A13" sqref="A13"/>
      <pageMargins left="0.7" right="0.7" top="0.75" bottom="0.75" header="0.3" footer="0.3"/>
      <pageSetup orientation="portrait" r:id="rId7"/>
    </customSheetView>
    <customSheetView guid="{105E85B8-9A7A-4110-9634-CB22952476CC}">
      <selection activeCell="A13" sqref="A13"/>
      <pageMargins left="0.7" right="0.7" top="0.75" bottom="0.75" header="0.3" footer="0.3"/>
      <pageSetup orientation="portrait" r:id="rId8"/>
    </customSheetView>
    <customSheetView guid="{3F467621-6324-4266-A1CB-A00C20E99D00}">
      <selection activeCell="A13" sqref="A13"/>
      <pageMargins left="0.7" right="0.7" top="0.75" bottom="0.75" header="0.3" footer="0.3"/>
      <pageSetup orientation="portrait" r:id="rId9"/>
    </customSheetView>
    <customSheetView guid="{FC75C57A-A981-40F1-A712-EAFC64AB1BBD}">
      <selection activeCell="C12" sqref="C12"/>
      <pageMargins left="0.7" right="0.7" top="0.75" bottom="0.75" header="0.3" footer="0.3"/>
      <pageSetup orientation="portrait" r:id="rId10"/>
    </customSheetView>
    <customSheetView guid="{5FF6C677-6BD3-4CC5-98C1-BA95F6DE7B70}">
      <selection activeCell="C12" sqref="C12"/>
      <pageMargins left="0.7" right="0.7" top="0.75" bottom="0.75" header="0.3" footer="0.3"/>
      <pageSetup orientation="portrait" r:id="rId11"/>
    </customSheetView>
    <customSheetView guid="{3D995FFA-456E-4A0A-AF78-CD5180B1C163}">
      <selection activeCell="A13" sqref="A13"/>
      <pageMargins left="0.7" right="0.7" top="0.75" bottom="0.75" header="0.3" footer="0.3"/>
      <pageSetup orientation="portrait" r:id="rId12"/>
    </customSheetView>
    <customSheetView guid="{F7AAF2C2-30F8-4A4D-9DCA-2CE431E237EF}">
      <selection activeCell="A13" sqref="A13"/>
      <pageMargins left="0.7" right="0.7" top="0.75" bottom="0.75" header="0.3" footer="0.3"/>
      <pageSetup orientation="portrait" r:id="rId13"/>
    </customSheetView>
    <customSheetView guid="{CF016ED8-8B91-4622-8F1B-C12FD046BBA3}">
      <selection activeCell="A13" sqref="A13"/>
      <pageMargins left="0.7" right="0.7" top="0.75" bottom="0.75" header="0.3" footer="0.3"/>
      <pageSetup orientation="portrait" r:id="rId14"/>
    </customSheetView>
    <customSheetView guid="{A948BEAA-C943-439F-A074-9FFD96C20787}">
      <selection activeCell="A13" sqref="A13"/>
      <pageMargins left="0.7" right="0.7" top="0.75" bottom="0.75" header="0.3" footer="0.3"/>
      <pageSetup orientation="portrait" r:id="rId15"/>
    </customSheetView>
    <customSheetView guid="{F15FCE5B-4793-4E19-BCC1-0B2A44E18C59}">
      <selection activeCell="A13" sqref="A13"/>
      <pageMargins left="0.7" right="0.7" top="0.75" bottom="0.75" header="0.3" footer="0.3"/>
      <pageSetup orientation="portrait" r:id="rId16"/>
    </customSheetView>
    <customSheetView guid="{C758BCB7-A66F-4816-80B2-6959FA24FF89}">
      <selection activeCell="A13" sqref="A13"/>
      <pageMargins left="0.7" right="0.7" top="0.75" bottom="0.75" header="0.3" footer="0.3"/>
      <pageSetup orientation="portrait" r:id="rId17"/>
    </customSheetView>
  </customSheetViews>
  <pageMargins left="0.7" right="0.7" top="0.75" bottom="0.75" header="0.3" footer="0.3"/>
  <pageSetup orientation="portrait" r:id="rId18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3"/>
  <sheetViews>
    <sheetView workbookViewId="0">
      <selection sqref="A1:XFD1048576"/>
    </sheetView>
  </sheetViews>
  <sheetFormatPr defaultRowHeight="15"/>
  <cols>
    <col min="1" max="1" width="28" bestFit="1" customWidth="1"/>
    <col min="2" max="2" width="24.42578125" bestFit="1" customWidth="1"/>
  </cols>
  <sheetData>
    <row r="1" spans="1:5" ht="28.5" customHeight="1">
      <c r="A1" s="4" t="s">
        <v>121</v>
      </c>
      <c r="B1" s="4" t="s">
        <v>120</v>
      </c>
    </row>
    <row r="2" spans="1:5">
      <c r="A2" s="35">
        <v>0</v>
      </c>
      <c r="B2" s="35">
        <v>0</v>
      </c>
    </row>
    <row r="3" spans="1:5">
      <c r="A3" s="35">
        <v>0.1</v>
      </c>
      <c r="B3" s="35">
        <v>0.2</v>
      </c>
    </row>
    <row r="4" spans="1:5">
      <c r="A4" s="35">
        <v>0.11</v>
      </c>
      <c r="B4" s="35">
        <v>0.215</v>
      </c>
    </row>
    <row r="5" spans="1:5">
      <c r="A5" s="35">
        <v>0.12</v>
      </c>
      <c r="B5" s="35">
        <v>0.23</v>
      </c>
    </row>
    <row r="6" spans="1:5">
      <c r="A6" s="35">
        <v>0.13</v>
      </c>
      <c r="B6" s="35">
        <v>0.245</v>
      </c>
      <c r="E6">
        <v>1168.8</v>
      </c>
    </row>
    <row r="7" spans="1:5">
      <c r="A7" s="35">
        <v>0.14000000000000001</v>
      </c>
      <c r="B7" s="35">
        <v>0.26</v>
      </c>
    </row>
    <row r="8" spans="1:5">
      <c r="A8" s="35">
        <v>0.15</v>
      </c>
      <c r="B8" s="35">
        <v>0.27500000000000002</v>
      </c>
    </row>
    <row r="9" spans="1:5">
      <c r="A9" s="35">
        <v>0.17</v>
      </c>
      <c r="B9" s="35">
        <v>0.30499999999999999</v>
      </c>
    </row>
    <row r="10" spans="1:5">
      <c r="A10" s="35">
        <v>0.18</v>
      </c>
      <c r="B10" s="35">
        <v>0.32</v>
      </c>
    </row>
    <row r="11" spans="1:5">
      <c r="A11" s="35">
        <v>0.19</v>
      </c>
      <c r="B11" s="35">
        <v>0.33500000000000002</v>
      </c>
    </row>
    <row r="12" spans="1:5">
      <c r="A12" s="35">
        <v>0.2</v>
      </c>
      <c r="B12" s="35">
        <v>0.35</v>
      </c>
    </row>
    <row r="13" spans="1:5">
      <c r="A13" s="35"/>
    </row>
  </sheetData>
  <sheetProtection algorithmName="SHA-512" hashValue="9BnbjhScJTa2kD2LGVhe0IsDgVY44+3hOnpUOmS1KGSIstYnrmdHJ0CJz7g33QNM6r1EYVWz1Fq6O35+CS3ZzQ==" saltValue="eTi9d3eJZLbtOlEelPi0gg==" spinCount="100000" sheet="1" objects="1" scenarios="1"/>
  <customSheetViews>
    <customSheetView guid="{12DF92E2-F0A4-4522-953F-2BCAD962F9B1}">
      <selection activeCell="B12" sqref="B12"/>
      <pageMargins left="0.7" right="0.7" top="0.75" bottom="0.75" header="0.3" footer="0.3"/>
      <pageSetup orientation="portrait" r:id="rId1"/>
    </customSheetView>
    <customSheetView guid="{CDF0923A-CEB9-47A0-BB71-B372AD18A6C5}">
      <selection activeCell="B12" sqref="B12"/>
      <pageMargins left="0.7" right="0.7" top="0.75" bottom="0.75" header="0.3" footer="0.3"/>
      <pageSetup orientation="portrait" r:id="rId2"/>
    </customSheetView>
    <customSheetView guid="{1CB7F20C-5BCB-4F31-A665-EF07F93D0225}">
      <selection activeCell="B12" sqref="B12"/>
      <pageMargins left="0.7" right="0.7" top="0.75" bottom="0.75" header="0.3" footer="0.3"/>
      <pageSetup orientation="portrait" r:id="rId3"/>
    </customSheetView>
    <customSheetView guid="{A3C5269A-712A-445D-A52D-32C4B0B08868}">
      <selection activeCell="B12" sqref="B12"/>
      <pageMargins left="0.7" right="0.7" top="0.75" bottom="0.75" header="0.3" footer="0.3"/>
      <pageSetup orientation="portrait" r:id="rId4"/>
    </customSheetView>
    <customSheetView guid="{D2801948-3667-42F1-A855-2C3A7F5D75C1}">
      <selection activeCell="B12" sqref="B12"/>
      <pageMargins left="0.7" right="0.7" top="0.75" bottom="0.75" header="0.3" footer="0.3"/>
      <pageSetup orientation="portrait" r:id="rId5"/>
    </customSheetView>
    <customSheetView guid="{6B8B0E6B-B6D7-44A4-A1E7-F92938C31FF1}">
      <selection activeCell="B12" sqref="B12"/>
      <pageMargins left="0.7" right="0.7" top="0.75" bottom="0.75" header="0.3" footer="0.3"/>
      <pageSetup orientation="portrait" r:id="rId6"/>
    </customSheetView>
    <customSheetView guid="{E6F23B71-2871-41D0-8B3E-C5A92D17DA9C}">
      <selection activeCell="B12" sqref="B12"/>
      <pageMargins left="0.7" right="0.7" top="0.75" bottom="0.75" header="0.3" footer="0.3"/>
      <pageSetup orientation="portrait" r:id="rId7"/>
    </customSheetView>
    <customSheetView guid="{105E85B8-9A7A-4110-9634-CB22952476CC}">
      <selection activeCell="B12" sqref="B12"/>
      <pageMargins left="0.7" right="0.7" top="0.75" bottom="0.75" header="0.3" footer="0.3"/>
      <pageSetup orientation="portrait" r:id="rId8"/>
    </customSheetView>
    <customSheetView guid="{3F467621-6324-4266-A1CB-A00C20E99D00}">
      <selection activeCell="B12" sqref="B12"/>
      <pageMargins left="0.7" right="0.7" top="0.75" bottom="0.75" header="0.3" footer="0.3"/>
      <pageSetup orientation="portrait" r:id="rId9"/>
    </customSheetView>
    <customSheetView guid="{FC75C57A-A981-40F1-A712-EAFC64AB1BBD}">
      <selection activeCell="B12" sqref="B12"/>
      <pageMargins left="0.7" right="0.7" top="0.75" bottom="0.75" header="0.3" footer="0.3"/>
      <pageSetup orientation="portrait" r:id="rId10"/>
    </customSheetView>
    <customSheetView guid="{5FF6C677-6BD3-4CC5-98C1-BA95F6DE7B70}">
      <selection activeCell="B12" sqref="B12"/>
      <pageMargins left="0.7" right="0.7" top="0.75" bottom="0.75" header="0.3" footer="0.3"/>
      <pageSetup orientation="portrait" r:id="rId11"/>
    </customSheetView>
    <customSheetView guid="{3D995FFA-456E-4A0A-AF78-CD5180B1C163}">
      <selection activeCell="B12" sqref="B12"/>
      <pageMargins left="0.7" right="0.7" top="0.75" bottom="0.75" header="0.3" footer="0.3"/>
      <pageSetup orientation="portrait" r:id="rId12"/>
    </customSheetView>
    <customSheetView guid="{F7AAF2C2-30F8-4A4D-9DCA-2CE431E237EF}">
      <selection activeCell="B12" sqref="B12"/>
      <pageMargins left="0.7" right="0.7" top="0.75" bottom="0.75" header="0.3" footer="0.3"/>
      <pageSetup orientation="portrait" r:id="rId13"/>
    </customSheetView>
    <customSheetView guid="{CF016ED8-8B91-4622-8F1B-C12FD046BBA3}">
      <selection activeCell="B12" sqref="B12"/>
      <pageMargins left="0.7" right="0.7" top="0.75" bottom="0.75" header="0.3" footer="0.3"/>
      <pageSetup orientation="portrait" r:id="rId14"/>
    </customSheetView>
    <customSheetView guid="{A948BEAA-C943-439F-A074-9FFD96C20787}">
      <selection activeCell="B12" sqref="B12"/>
      <pageMargins left="0.7" right="0.7" top="0.75" bottom="0.75" header="0.3" footer="0.3"/>
      <pageSetup orientation="portrait" r:id="rId15"/>
    </customSheetView>
    <customSheetView guid="{F15FCE5B-4793-4E19-BCC1-0B2A44E18C59}">
      <selection activeCell="B12" sqref="B12"/>
      <pageMargins left="0.7" right="0.7" top="0.75" bottom="0.75" header="0.3" footer="0.3"/>
      <pageSetup orientation="portrait" r:id="rId16"/>
    </customSheetView>
    <customSheetView guid="{C758BCB7-A66F-4816-80B2-6959FA24FF89}">
      <selection activeCell="B12" sqref="B12"/>
      <pageMargins left="0.7" right="0.7" top="0.75" bottom="0.75" header="0.3" footer="0.3"/>
      <pageSetup orientation="portrait" r:id="rId17"/>
    </customSheetView>
  </customSheetViews>
  <pageMargins left="0.7" right="0.7" top="0.75" bottom="0.75" header="0.3" footer="0.3"/>
  <pageSetup orientation="portrait" r:id="rId18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U124"/>
  <sheetViews>
    <sheetView zoomScaleNormal="125" zoomScaleSheetLayoutView="100" workbookViewId="0">
      <pane xSplit="1" topLeftCell="B1" activePane="topRight" state="frozen"/>
      <selection activeCell="E6" sqref="E6"/>
      <selection pane="topRight" activeCell="F6" sqref="F6"/>
    </sheetView>
  </sheetViews>
  <sheetFormatPr defaultColWidth="9.140625" defaultRowHeight="12.75"/>
  <cols>
    <col min="1" max="1" width="34" style="37" customWidth="1"/>
    <col min="2" max="2" width="17.7109375" style="37" customWidth="1"/>
    <col min="3" max="3" width="16.85546875" style="37" customWidth="1"/>
    <col min="4" max="4" width="17.7109375" style="37" bestFit="1" customWidth="1"/>
    <col min="5" max="5" width="17.7109375" style="37" customWidth="1"/>
    <col min="6" max="6" width="17.7109375" style="37" bestFit="1" customWidth="1"/>
    <col min="7" max="8" width="17.7109375" style="37" customWidth="1"/>
    <col min="9" max="9" width="18.28515625" style="37" bestFit="1" customWidth="1"/>
    <col min="10" max="10" width="17.7109375" style="37" customWidth="1"/>
    <col min="11" max="11" width="20" style="37" bestFit="1" customWidth="1"/>
    <col min="12" max="12" width="14.85546875" style="37" bestFit="1" customWidth="1"/>
    <col min="13" max="13" width="10.140625" style="37" bestFit="1" customWidth="1"/>
    <col min="14" max="14" width="17.7109375" style="37" customWidth="1"/>
    <col min="15" max="15" width="19.28515625" style="37" customWidth="1"/>
    <col min="16" max="16" width="16.7109375" style="37" customWidth="1"/>
    <col min="17" max="19" width="17.7109375" style="37" customWidth="1"/>
    <col min="20" max="20" width="16.7109375" style="39" customWidth="1"/>
    <col min="21" max="21" width="20.42578125" style="40" bestFit="1" customWidth="1"/>
    <col min="22" max="16384" width="9.140625" style="37"/>
  </cols>
  <sheetData>
    <row r="1" spans="1:21" s="868" customFormat="1" ht="21" customHeight="1">
      <c r="A1" s="36" t="s">
        <v>123</v>
      </c>
      <c r="C1" s="869"/>
      <c r="I1" s="869"/>
      <c r="K1" s="38"/>
      <c r="O1" s="869"/>
      <c r="T1" s="870"/>
      <c r="U1" s="871"/>
    </row>
    <row r="2" spans="1:21" s="868" customFormat="1" ht="26.25" customHeight="1" thickBot="1">
      <c r="B2" s="872" t="s">
        <v>124</v>
      </c>
      <c r="C2" s="872"/>
      <c r="D2" s="872"/>
      <c r="E2" s="872"/>
      <c r="F2" s="872"/>
      <c r="G2" s="872"/>
      <c r="H2" s="872"/>
      <c r="I2" s="872"/>
      <c r="J2" s="872"/>
      <c r="K2" s="872"/>
      <c r="N2" s="872"/>
      <c r="O2" s="872"/>
      <c r="P2" s="872"/>
      <c r="Q2" s="872"/>
      <c r="R2" s="872"/>
      <c r="S2" s="872"/>
      <c r="T2" s="872"/>
      <c r="U2" s="872"/>
    </row>
    <row r="3" spans="1:21" s="873" customFormat="1" ht="38.25">
      <c r="A3" s="873" t="s">
        <v>125</v>
      </c>
      <c r="B3" s="874" t="s">
        <v>129</v>
      </c>
      <c r="C3" s="875" t="s">
        <v>135</v>
      </c>
      <c r="D3" s="874" t="s">
        <v>130</v>
      </c>
      <c r="E3" s="874" t="s">
        <v>132</v>
      </c>
      <c r="F3" s="874" t="s">
        <v>49</v>
      </c>
      <c r="G3" s="874" t="s">
        <v>139</v>
      </c>
      <c r="H3" s="874" t="s">
        <v>127</v>
      </c>
      <c r="I3" s="874" t="s">
        <v>136</v>
      </c>
      <c r="J3" s="874" t="s">
        <v>134</v>
      </c>
      <c r="K3" s="876" t="s">
        <v>137</v>
      </c>
      <c r="L3" s="877" t="s">
        <v>55</v>
      </c>
      <c r="M3" s="877" t="s">
        <v>242</v>
      </c>
      <c r="N3" s="874" t="s">
        <v>128</v>
      </c>
      <c r="O3" s="874" t="s">
        <v>126</v>
      </c>
      <c r="P3" s="878" t="s">
        <v>131</v>
      </c>
      <c r="Q3" s="874" t="s">
        <v>133</v>
      </c>
      <c r="R3" s="879" t="s">
        <v>138</v>
      </c>
      <c r="S3" s="874" t="s">
        <v>140</v>
      </c>
      <c r="T3" s="880" t="s">
        <v>141</v>
      </c>
      <c r="U3" s="881" t="s">
        <v>142</v>
      </c>
    </row>
    <row r="4" spans="1:21" s="868" customFormat="1">
      <c r="A4" s="41" t="s">
        <v>143</v>
      </c>
      <c r="B4" s="882">
        <v>35542</v>
      </c>
      <c r="C4" s="882">
        <v>79752</v>
      </c>
      <c r="D4" s="883">
        <v>46473</v>
      </c>
      <c r="E4" s="882">
        <v>37599</v>
      </c>
      <c r="F4" s="882">
        <v>138169</v>
      </c>
      <c r="G4" s="882">
        <v>82208</v>
      </c>
      <c r="H4" s="882">
        <v>51474</v>
      </c>
      <c r="I4" s="882">
        <v>65711</v>
      </c>
      <c r="J4" s="882">
        <v>44275</v>
      </c>
      <c r="K4" s="884">
        <v>65000</v>
      </c>
      <c r="N4" s="882">
        <v>21000</v>
      </c>
      <c r="P4" s="885">
        <v>46308</v>
      </c>
      <c r="Q4" s="882">
        <v>55604</v>
      </c>
      <c r="R4" s="886">
        <v>68625</v>
      </c>
      <c r="S4" s="882">
        <v>94719</v>
      </c>
      <c r="T4" s="887">
        <f>AVERAGE(F4:S4)</f>
        <v>66644.818181818177</v>
      </c>
      <c r="U4" s="888">
        <f>MEDIAN(C4:S4)</f>
        <v>60302</v>
      </c>
    </row>
    <row r="5" spans="1:21" s="868" customFormat="1">
      <c r="A5" s="41" t="s">
        <v>144</v>
      </c>
      <c r="B5" s="883">
        <v>37</v>
      </c>
      <c r="C5" s="889">
        <v>59</v>
      </c>
      <c r="D5" s="883">
        <v>44</v>
      </c>
      <c r="E5" s="883">
        <v>51</v>
      </c>
      <c r="F5" s="883">
        <v>180</v>
      </c>
      <c r="G5" s="883">
        <v>79</v>
      </c>
      <c r="H5" s="883">
        <v>32</v>
      </c>
      <c r="I5" s="883">
        <v>59</v>
      </c>
      <c r="J5" s="883">
        <v>58</v>
      </c>
      <c r="K5" s="890">
        <v>60</v>
      </c>
      <c r="L5" s="891">
        <f>SUM(B5:K5)</f>
        <v>659</v>
      </c>
      <c r="N5" s="883">
        <v>35</v>
      </c>
      <c r="O5" s="883">
        <v>19</v>
      </c>
      <c r="P5" s="885">
        <v>45</v>
      </c>
      <c r="Q5" s="883">
        <v>57</v>
      </c>
      <c r="R5" s="886">
        <v>70</v>
      </c>
      <c r="S5" s="883">
        <v>86</v>
      </c>
      <c r="T5" s="887">
        <f>AVERAGE(F5:S5)</f>
        <v>110.69230769230769</v>
      </c>
      <c r="U5" s="888">
        <f>MEDIAN(F5:S5)</f>
        <v>59</v>
      </c>
    </row>
    <row r="6" spans="1:21" s="868" customFormat="1">
      <c r="A6" s="41" t="s">
        <v>145</v>
      </c>
      <c r="B6" s="892">
        <v>45</v>
      </c>
      <c r="C6" s="889">
        <v>127</v>
      </c>
      <c r="D6" s="893">
        <v>45</v>
      </c>
      <c r="E6" s="892">
        <v>1168.8</v>
      </c>
      <c r="F6" s="892">
        <v>281</v>
      </c>
      <c r="G6" s="892">
        <v>109</v>
      </c>
      <c r="H6" s="892">
        <v>58</v>
      </c>
      <c r="I6" s="892">
        <v>104</v>
      </c>
      <c r="J6" s="892">
        <v>59</v>
      </c>
      <c r="K6" s="890">
        <v>106</v>
      </c>
      <c r="N6" s="892">
        <v>35</v>
      </c>
      <c r="O6" s="892">
        <v>40</v>
      </c>
      <c r="P6" s="885">
        <v>81</v>
      </c>
      <c r="Q6" s="892">
        <v>60</v>
      </c>
      <c r="R6" s="894">
        <v>71</v>
      </c>
      <c r="S6" s="892">
        <v>170</v>
      </c>
      <c r="T6" s="887">
        <f>AVERAGE(F6:S6)</f>
        <v>97.833333333333329</v>
      </c>
      <c r="U6" s="888">
        <f>MEDIAN(F6:S6)</f>
        <v>76</v>
      </c>
    </row>
    <row r="7" spans="1:21" s="868" customFormat="1">
      <c r="A7" s="42" t="s">
        <v>146</v>
      </c>
      <c r="B7" s="895"/>
      <c r="C7" s="896"/>
      <c r="D7" s="895"/>
      <c r="E7" s="895"/>
      <c r="F7" s="895"/>
      <c r="G7" s="895"/>
      <c r="H7" s="895"/>
      <c r="I7" s="895"/>
      <c r="J7" s="895">
        <v>87.5</v>
      </c>
      <c r="K7" s="896">
        <v>159</v>
      </c>
      <c r="N7" s="895"/>
      <c r="O7" s="895"/>
      <c r="P7" s="897"/>
      <c r="Q7" s="895"/>
      <c r="R7" s="898">
        <v>106.5</v>
      </c>
      <c r="S7" s="895"/>
      <c r="T7" s="870"/>
      <c r="U7" s="899" t="s">
        <v>147</v>
      </c>
    </row>
    <row r="8" spans="1:21" s="868" customFormat="1" ht="12.75" customHeight="1">
      <c r="A8" s="43"/>
      <c r="B8" s="44"/>
      <c r="C8" s="900"/>
      <c r="D8" s="901"/>
      <c r="E8" s="44"/>
      <c r="F8" s="44"/>
      <c r="G8" s="44"/>
      <c r="H8" s="44"/>
      <c r="I8" s="44"/>
      <c r="J8" s="44"/>
      <c r="K8" s="900"/>
      <c r="N8" s="44"/>
      <c r="O8" s="44"/>
      <c r="P8" s="897"/>
      <c r="Q8" s="44"/>
      <c r="R8" s="902"/>
      <c r="S8" s="44"/>
      <c r="T8" s="870"/>
      <c r="U8" s="899" t="s">
        <v>147</v>
      </c>
    </row>
    <row r="9" spans="1:21" ht="15.75">
      <c r="A9" s="45"/>
      <c r="B9" s="47"/>
      <c r="C9" s="49"/>
      <c r="D9" s="48"/>
      <c r="E9" s="47"/>
      <c r="F9" s="47"/>
      <c r="G9" s="47"/>
      <c r="H9" s="47"/>
      <c r="I9" s="46"/>
      <c r="J9" s="47"/>
      <c r="K9" s="49"/>
      <c r="N9" s="47"/>
      <c r="O9" s="46"/>
      <c r="P9" s="48"/>
      <c r="Q9" s="47"/>
      <c r="R9" s="50"/>
      <c r="S9" s="47"/>
      <c r="T9" s="51"/>
      <c r="U9" s="52"/>
    </row>
    <row r="10" spans="1:21">
      <c r="A10" s="53" t="s">
        <v>148</v>
      </c>
      <c r="B10" s="54"/>
      <c r="C10" s="55"/>
      <c r="D10" s="54"/>
      <c r="E10" s="54"/>
      <c r="F10" s="54"/>
      <c r="G10" s="54"/>
      <c r="H10" s="54"/>
      <c r="I10" s="54"/>
      <c r="J10" s="54"/>
      <c r="K10" s="55"/>
      <c r="N10" s="54"/>
      <c r="O10" s="54"/>
      <c r="P10" s="54"/>
      <c r="Q10" s="54"/>
      <c r="R10" s="56"/>
      <c r="S10" s="54"/>
      <c r="T10" s="57"/>
      <c r="U10" s="58"/>
    </row>
    <row r="11" spans="1:21" ht="15">
      <c r="A11" s="59" t="s">
        <v>149</v>
      </c>
      <c r="B11" s="60"/>
      <c r="C11" s="63"/>
      <c r="D11" s="61"/>
      <c r="E11" s="60"/>
      <c r="F11" s="60"/>
      <c r="G11" s="60"/>
      <c r="H11" s="60"/>
      <c r="I11" s="60"/>
      <c r="J11" s="60"/>
      <c r="K11" s="63"/>
      <c r="N11" s="60"/>
      <c r="O11" s="60"/>
      <c r="P11" s="62">
        <v>1150000</v>
      </c>
      <c r="Q11" s="60"/>
      <c r="R11" s="64"/>
      <c r="S11" s="60"/>
      <c r="T11" s="65"/>
      <c r="U11" s="66" t="s">
        <v>147</v>
      </c>
    </row>
    <row r="12" spans="1:21" ht="15">
      <c r="A12" s="67" t="s">
        <v>150</v>
      </c>
      <c r="B12" s="69"/>
      <c r="C12" s="71"/>
      <c r="D12" s="68"/>
      <c r="E12" s="69"/>
      <c r="F12" s="68"/>
      <c r="G12" s="69"/>
      <c r="H12" s="69"/>
      <c r="I12" s="68"/>
      <c r="J12" s="69"/>
      <c r="K12" s="71"/>
      <c r="N12" s="69"/>
      <c r="O12" s="68">
        <v>0</v>
      </c>
      <c r="P12" s="70"/>
      <c r="Q12" s="69"/>
      <c r="R12" s="72"/>
      <c r="S12" s="69"/>
      <c r="T12" s="73">
        <f t="shared" ref="T12:T17" si="0">AVERAGE(F12:S12)</f>
        <v>0</v>
      </c>
      <c r="U12" s="74">
        <f t="shared" ref="U12:U17" si="1">MEDIAN(F12:S12)</f>
        <v>0</v>
      </c>
    </row>
    <row r="13" spans="1:21" ht="15" customHeight="1">
      <c r="A13" s="67" t="s">
        <v>151</v>
      </c>
      <c r="B13" s="69">
        <v>695157</v>
      </c>
      <c r="C13" s="77">
        <v>770000</v>
      </c>
      <c r="D13" s="76">
        <v>3485000</v>
      </c>
      <c r="E13" s="69">
        <v>986789</v>
      </c>
      <c r="F13" s="69">
        <v>0</v>
      </c>
      <c r="G13" s="69">
        <v>1878337</v>
      </c>
      <c r="H13" s="69">
        <v>3075000</v>
      </c>
      <c r="I13" s="78">
        <v>618656</v>
      </c>
      <c r="J13" s="69">
        <v>2850000</v>
      </c>
      <c r="K13" s="75">
        <v>961438</v>
      </c>
      <c r="L13" s="79">
        <f>SUM(B13:K13)</f>
        <v>15320377</v>
      </c>
      <c r="M13" s="79">
        <f>L13/$L$5</f>
        <v>23247.916540212442</v>
      </c>
      <c r="N13" s="69">
        <v>3850000</v>
      </c>
      <c r="O13" s="75"/>
      <c r="P13" s="70"/>
      <c r="Q13" s="69">
        <v>1080000</v>
      </c>
      <c r="R13" s="72">
        <v>3193989</v>
      </c>
      <c r="S13" s="69">
        <v>3446410</v>
      </c>
      <c r="T13" s="142">
        <f>AVERAGE(F13:S13)</f>
        <v>3024787.9097116846</v>
      </c>
      <c r="U13" s="74">
        <f t="shared" si="1"/>
        <v>2364168.5</v>
      </c>
    </row>
    <row r="14" spans="1:21">
      <c r="A14" s="80" t="s">
        <v>152</v>
      </c>
      <c r="B14" s="81">
        <f t="shared" ref="B14:K14" si="2">SUM(B12:B13)</f>
        <v>695157</v>
      </c>
      <c r="C14" s="83">
        <f t="shared" si="2"/>
        <v>770000</v>
      </c>
      <c r="D14" s="81">
        <f t="shared" si="2"/>
        <v>3485000</v>
      </c>
      <c r="E14" s="81">
        <f t="shared" si="2"/>
        <v>986789</v>
      </c>
      <c r="F14" s="81">
        <f t="shared" si="2"/>
        <v>0</v>
      </c>
      <c r="G14" s="81">
        <f t="shared" si="2"/>
        <v>1878337</v>
      </c>
      <c r="H14" s="81">
        <f t="shared" si="2"/>
        <v>3075000</v>
      </c>
      <c r="I14" s="81">
        <f t="shared" si="2"/>
        <v>618656</v>
      </c>
      <c r="J14" s="81">
        <f t="shared" si="2"/>
        <v>2850000</v>
      </c>
      <c r="K14" s="83">
        <f t="shared" si="2"/>
        <v>961438</v>
      </c>
      <c r="L14" s="79"/>
      <c r="N14" s="81">
        <f>SUM(N12:N13)</f>
        <v>3850000</v>
      </c>
      <c r="O14" s="81">
        <f>SUM(O12:O13)</f>
        <v>0</v>
      </c>
      <c r="P14" s="82">
        <v>1150000</v>
      </c>
      <c r="Q14" s="81">
        <f>SUM(Q12:Q13)</f>
        <v>1080000</v>
      </c>
      <c r="R14" s="84">
        <v>3193989</v>
      </c>
      <c r="S14" s="81">
        <f>SUM(S12:S13)</f>
        <v>3446410</v>
      </c>
      <c r="T14" s="85">
        <f>AVERAGE(F14:S14)</f>
        <v>1841985.8333333333</v>
      </c>
      <c r="U14" s="86">
        <f t="shared" si="1"/>
        <v>1514168.5</v>
      </c>
    </row>
    <row r="15" spans="1:21">
      <c r="A15" s="87" t="s">
        <v>153</v>
      </c>
      <c r="B15" s="88">
        <f t="shared" ref="B15:G15" si="3">B14/B5</f>
        <v>18788.027027027027</v>
      </c>
      <c r="C15" s="83">
        <f t="shared" si="3"/>
        <v>13050.847457627118</v>
      </c>
      <c r="D15" s="88">
        <f t="shared" si="3"/>
        <v>79204.545454545456</v>
      </c>
      <c r="E15" s="88">
        <f t="shared" si="3"/>
        <v>19348.803921568626</v>
      </c>
      <c r="F15" s="88">
        <f t="shared" si="3"/>
        <v>0</v>
      </c>
      <c r="G15" s="88">
        <f t="shared" si="3"/>
        <v>23776.417721518988</v>
      </c>
      <c r="H15" s="88">
        <f>H14/H5</f>
        <v>96093.75</v>
      </c>
      <c r="I15" s="88">
        <f>I14/I5</f>
        <v>10485.694915254237</v>
      </c>
      <c r="J15" s="88">
        <f>J14/J5</f>
        <v>49137.931034482761</v>
      </c>
      <c r="K15" s="83">
        <f>K14/K5</f>
        <v>16023.966666666667</v>
      </c>
      <c r="N15" s="88">
        <f>N14/N5</f>
        <v>110000</v>
      </c>
      <c r="O15" s="81">
        <f>O14/O5</f>
        <v>0</v>
      </c>
      <c r="P15" s="88">
        <f>P14/P5</f>
        <v>25555.555555555555</v>
      </c>
      <c r="Q15" s="88">
        <f>Q14/Q5</f>
        <v>18947.36842105263</v>
      </c>
      <c r="R15" s="89"/>
      <c r="S15" s="88">
        <f>S14/S5</f>
        <v>40074.534883720931</v>
      </c>
      <c r="T15" s="85">
        <f t="shared" si="0"/>
        <v>35463.201745295613</v>
      </c>
      <c r="U15" s="86">
        <f t="shared" si="1"/>
        <v>23776.417721518988</v>
      </c>
    </row>
    <row r="16" spans="1:21">
      <c r="A16" s="87" t="s">
        <v>154</v>
      </c>
      <c r="B16" s="88">
        <f t="shared" ref="B16:K16" si="4">B15-$T$15</f>
        <v>-16675.174718268587</v>
      </c>
      <c r="C16" s="83">
        <f t="shared" si="4"/>
        <v>-22412.354287668495</v>
      </c>
      <c r="D16" s="88">
        <f t="shared" si="4"/>
        <v>43741.343709249843</v>
      </c>
      <c r="E16" s="88">
        <f t="shared" si="4"/>
        <v>-16114.397823726988</v>
      </c>
      <c r="F16" s="88">
        <f t="shared" si="4"/>
        <v>-35463.201745295613</v>
      </c>
      <c r="G16" s="88">
        <f t="shared" si="4"/>
        <v>-11686.784023776625</v>
      </c>
      <c r="H16" s="88">
        <f t="shared" si="4"/>
        <v>60630.548254704387</v>
      </c>
      <c r="I16" s="88">
        <f t="shared" si="4"/>
        <v>-24977.506830041377</v>
      </c>
      <c r="J16" s="88">
        <f t="shared" si="4"/>
        <v>13674.729289187148</v>
      </c>
      <c r="K16" s="83">
        <f t="shared" si="4"/>
        <v>-19439.235078628946</v>
      </c>
      <c r="N16" s="88">
        <f>N15-$T$15</f>
        <v>74536.798254704394</v>
      </c>
      <c r="O16" s="81">
        <f>O15-$T$15</f>
        <v>-35463.201745295613</v>
      </c>
      <c r="P16" s="88">
        <f>P15-$T$15</f>
        <v>-9907.6461897400586</v>
      </c>
      <c r="Q16" s="88">
        <f>Q15-$T$15</f>
        <v>-16515.833324242984</v>
      </c>
      <c r="R16" s="89"/>
      <c r="S16" s="88">
        <f>S15-$T$15</f>
        <v>4611.3331384253179</v>
      </c>
      <c r="T16" s="85">
        <f t="shared" si="0"/>
        <v>2.3150774226947264E-12</v>
      </c>
      <c r="U16" s="86">
        <f t="shared" si="1"/>
        <v>-11686.784023776625</v>
      </c>
    </row>
    <row r="17" spans="1:21">
      <c r="A17" s="87" t="s">
        <v>155</v>
      </c>
      <c r="B17" s="88">
        <f t="shared" ref="B17:G17" si="5">B14/B4</f>
        <v>19.558747397445277</v>
      </c>
      <c r="C17" s="83">
        <f t="shared" si="5"/>
        <v>9.6549302838800273</v>
      </c>
      <c r="D17" s="88">
        <f t="shared" si="5"/>
        <v>74.989779011469025</v>
      </c>
      <c r="E17" s="88">
        <f t="shared" si="5"/>
        <v>26.245086305486847</v>
      </c>
      <c r="F17" s="88">
        <f t="shared" si="5"/>
        <v>0</v>
      </c>
      <c r="G17" s="88">
        <f t="shared" si="5"/>
        <v>22.848591377968081</v>
      </c>
      <c r="H17" s="88">
        <f>H14/H4</f>
        <v>59.73889730737848</v>
      </c>
      <c r="I17" s="88">
        <f>I14/I4</f>
        <v>9.4148011748413509</v>
      </c>
      <c r="J17" s="88">
        <f>J14/J4</f>
        <v>64.37041219649916</v>
      </c>
      <c r="K17" s="83">
        <f>K14/K4</f>
        <v>14.791353846153847</v>
      </c>
      <c r="N17" s="88">
        <f>N14/N4</f>
        <v>183.33333333333334</v>
      </c>
      <c r="O17" s="81">
        <f>O14/C4</f>
        <v>0</v>
      </c>
      <c r="P17" s="88">
        <f>P14/P4</f>
        <v>24.833722035069535</v>
      </c>
      <c r="Q17" s="88">
        <f>Q14/Q4</f>
        <v>19.423063088986403</v>
      </c>
      <c r="R17" s="89"/>
      <c r="S17" s="88">
        <f>S14/S4</f>
        <v>36.38562484823531</v>
      </c>
      <c r="T17" s="85">
        <f t="shared" si="0"/>
        <v>39.558163564405952</v>
      </c>
      <c r="U17" s="86">
        <f t="shared" si="1"/>
        <v>22.848591377968081</v>
      </c>
    </row>
    <row r="18" spans="1:21">
      <c r="A18" s="87" t="s">
        <v>156</v>
      </c>
      <c r="B18" s="88">
        <f t="shared" ref="B18:K18" si="6">B17-$T$17</f>
        <v>-19.999416166960675</v>
      </c>
      <c r="C18" s="83">
        <f t="shared" si="6"/>
        <v>-29.903233280525924</v>
      </c>
      <c r="D18" s="88">
        <f t="shared" si="6"/>
        <v>35.431615447063074</v>
      </c>
      <c r="E18" s="88">
        <f t="shared" si="6"/>
        <v>-13.313077258919105</v>
      </c>
      <c r="F18" s="88">
        <f t="shared" si="6"/>
        <v>-39.558163564405952</v>
      </c>
      <c r="G18" s="88">
        <f t="shared" si="6"/>
        <v>-16.709572186437871</v>
      </c>
      <c r="H18" s="88">
        <f t="shared" si="6"/>
        <v>20.180733742972528</v>
      </c>
      <c r="I18" s="88">
        <f t="shared" si="6"/>
        <v>-30.143362389564601</v>
      </c>
      <c r="J18" s="88">
        <f t="shared" si="6"/>
        <v>24.812248632093208</v>
      </c>
      <c r="K18" s="83">
        <f t="shared" si="6"/>
        <v>-24.766809718252105</v>
      </c>
      <c r="N18" s="88">
        <f>N17-$T$17</f>
        <v>143.77516976892738</v>
      </c>
      <c r="O18" s="81">
        <f>O17-$T$17</f>
        <v>-39.558163564405952</v>
      </c>
      <c r="P18" s="88">
        <f>P17-$T$17</f>
        <v>-14.724441529336417</v>
      </c>
      <c r="Q18" s="88">
        <f>Q17-$T$17</f>
        <v>-20.135100475419549</v>
      </c>
      <c r="R18" s="89"/>
      <c r="S18" s="88">
        <f>S17-$T$17</f>
        <v>-3.1725387161706422</v>
      </c>
      <c r="T18" s="88">
        <f>T17-$T$17</f>
        <v>0</v>
      </c>
      <c r="U18" s="86"/>
    </row>
    <row r="19" spans="1:21" ht="15">
      <c r="A19" s="87" t="s">
        <v>157</v>
      </c>
      <c r="B19" s="90"/>
      <c r="C19" s="92"/>
      <c r="D19" s="91"/>
      <c r="E19" s="90"/>
      <c r="F19" s="90" t="s">
        <v>147</v>
      </c>
      <c r="G19" s="90"/>
      <c r="H19" s="90"/>
      <c r="I19" s="90"/>
      <c r="J19" s="90"/>
      <c r="K19" s="92"/>
      <c r="N19" s="90"/>
      <c r="O19" s="90"/>
      <c r="P19" s="62"/>
      <c r="Q19" s="90"/>
      <c r="R19" s="93"/>
      <c r="S19" s="90"/>
      <c r="T19" s="94" t="s">
        <v>147</v>
      </c>
      <c r="U19" s="95" t="s">
        <v>147</v>
      </c>
    </row>
    <row r="20" spans="1:21" ht="15">
      <c r="A20" s="96" t="s">
        <v>158</v>
      </c>
      <c r="B20" s="68"/>
      <c r="C20" s="98">
        <v>300000</v>
      </c>
      <c r="D20" s="97"/>
      <c r="E20" s="68"/>
      <c r="F20" s="68"/>
      <c r="G20" s="68"/>
      <c r="H20" s="68"/>
      <c r="I20" s="75"/>
      <c r="J20" s="68"/>
      <c r="K20" s="75">
        <v>250000</v>
      </c>
      <c r="N20" s="68">
        <v>250000</v>
      </c>
      <c r="O20" s="75">
        <v>25000</v>
      </c>
      <c r="P20" s="70">
        <v>94878</v>
      </c>
      <c r="Q20" s="68">
        <v>80000</v>
      </c>
      <c r="R20" s="99"/>
      <c r="S20" s="68">
        <v>29100</v>
      </c>
      <c r="T20" s="73">
        <f>AVERAGE(F20:S20)</f>
        <v>121496.33333333333</v>
      </c>
      <c r="U20" s="74">
        <f>MEDIAN(F20:S20)</f>
        <v>87439</v>
      </c>
    </row>
    <row r="21" spans="1:21">
      <c r="A21" s="87" t="s">
        <v>153</v>
      </c>
      <c r="B21" s="88">
        <f t="shared" ref="B21:G21" si="7">B20/B5</f>
        <v>0</v>
      </c>
      <c r="C21" s="83">
        <f t="shared" si="7"/>
        <v>5084.7457627118647</v>
      </c>
      <c r="D21" s="88">
        <f t="shared" si="7"/>
        <v>0</v>
      </c>
      <c r="E21" s="88">
        <f t="shared" si="7"/>
        <v>0</v>
      </c>
      <c r="F21" s="88">
        <f t="shared" si="7"/>
        <v>0</v>
      </c>
      <c r="G21" s="88">
        <f t="shared" si="7"/>
        <v>0</v>
      </c>
      <c r="H21" s="88">
        <f>H20/H5</f>
        <v>0</v>
      </c>
      <c r="I21" s="88">
        <f>I20/I5</f>
        <v>0</v>
      </c>
      <c r="J21" s="88">
        <f>J20/J5</f>
        <v>0</v>
      </c>
      <c r="K21" s="83">
        <f>K20/K5</f>
        <v>4166.666666666667</v>
      </c>
      <c r="N21" s="88">
        <f>N20/N5</f>
        <v>7142.8571428571431</v>
      </c>
      <c r="O21" s="81">
        <f>O20/O5</f>
        <v>1315.7894736842106</v>
      </c>
      <c r="P21" s="88">
        <f>P20/P5</f>
        <v>2108.4</v>
      </c>
      <c r="Q21" s="88">
        <f>Q20/Q5</f>
        <v>1403.5087719298247</v>
      </c>
      <c r="R21" s="89"/>
      <c r="S21" s="88">
        <f>S20/S5</f>
        <v>338.37209302325579</v>
      </c>
      <c r="T21" s="85">
        <f>AVERAGE(F21:S21)</f>
        <v>1497.7812861964637</v>
      </c>
      <c r="U21" s="86">
        <f>MEDIAN(F21:S21)</f>
        <v>338.37209302325579</v>
      </c>
    </row>
    <row r="22" spans="1:21">
      <c r="A22" s="87" t="s">
        <v>154</v>
      </c>
      <c r="B22" s="88">
        <f t="shared" ref="B22:K22" si="8">B21-$T$21</f>
        <v>-1497.7812861964637</v>
      </c>
      <c r="C22" s="83">
        <f t="shared" si="8"/>
        <v>3586.9644765154007</v>
      </c>
      <c r="D22" s="88">
        <f t="shared" si="8"/>
        <v>-1497.7812861964637</v>
      </c>
      <c r="E22" s="88">
        <f t="shared" si="8"/>
        <v>-1497.7812861964637</v>
      </c>
      <c r="F22" s="88">
        <f t="shared" si="8"/>
        <v>-1497.7812861964637</v>
      </c>
      <c r="G22" s="88">
        <f t="shared" si="8"/>
        <v>-1497.7812861964637</v>
      </c>
      <c r="H22" s="88">
        <f t="shared" si="8"/>
        <v>-1497.7812861964637</v>
      </c>
      <c r="I22" s="88">
        <f t="shared" si="8"/>
        <v>-1497.7812861964637</v>
      </c>
      <c r="J22" s="88">
        <f t="shared" si="8"/>
        <v>-1497.7812861964637</v>
      </c>
      <c r="K22" s="83">
        <f t="shared" si="8"/>
        <v>2668.885380470203</v>
      </c>
      <c r="N22" s="88">
        <f>N21-$T$21</f>
        <v>5645.0758566606792</v>
      </c>
      <c r="O22" s="81">
        <f>O21-$T$21</f>
        <v>-181.99181251225309</v>
      </c>
      <c r="P22" s="88">
        <f>P21-$T$21</f>
        <v>610.61871380353637</v>
      </c>
      <c r="Q22" s="88">
        <f>Q21-$T$21</f>
        <v>-94.272514266639064</v>
      </c>
      <c r="R22" s="89"/>
      <c r="S22" s="88">
        <f>S21-$T$21</f>
        <v>-1159.409193173208</v>
      </c>
      <c r="T22" s="85">
        <f>AVERAGE(F22:S22)</f>
        <v>0</v>
      </c>
      <c r="U22" s="86">
        <f>MEDIAN(F22:S22)</f>
        <v>-1159.409193173208</v>
      </c>
    </row>
    <row r="23" spans="1:21">
      <c r="A23" s="87" t="s">
        <v>155</v>
      </c>
      <c r="B23" s="88">
        <f t="shared" ref="B23:G23" si="9">B20/B4</f>
        <v>0</v>
      </c>
      <c r="C23" s="83">
        <f t="shared" si="9"/>
        <v>3.7616611495636474</v>
      </c>
      <c r="D23" s="88">
        <f t="shared" si="9"/>
        <v>0</v>
      </c>
      <c r="E23" s="88">
        <f t="shared" si="9"/>
        <v>0</v>
      </c>
      <c r="F23" s="88">
        <f t="shared" si="9"/>
        <v>0</v>
      </c>
      <c r="G23" s="88">
        <f t="shared" si="9"/>
        <v>0</v>
      </c>
      <c r="H23" s="88">
        <f>H20/H4</f>
        <v>0</v>
      </c>
      <c r="I23" s="88">
        <f>I20/I4</f>
        <v>0</v>
      </c>
      <c r="J23" s="88">
        <f>J20/J4</f>
        <v>0</v>
      </c>
      <c r="K23" s="83">
        <f>K20/K4</f>
        <v>3.8461538461538463</v>
      </c>
      <c r="N23" s="88">
        <f>N20/N4</f>
        <v>11.904761904761905</v>
      </c>
      <c r="O23" s="81">
        <f>O20/C4</f>
        <v>0.31347176246363728</v>
      </c>
      <c r="P23" s="88">
        <f>P20/P4</f>
        <v>2.0488468515159366</v>
      </c>
      <c r="Q23" s="88">
        <f>Q20/Q4</f>
        <v>1.4387454139989928</v>
      </c>
      <c r="R23" s="89"/>
      <c r="S23" s="88">
        <f>S20/S4</f>
        <v>0.30722452728597222</v>
      </c>
      <c r="T23" s="85">
        <f>AVERAGE(F23:S23)</f>
        <v>1.8053822096527539</v>
      </c>
      <c r="U23" s="86">
        <f>MEDIAN(F23:S23)</f>
        <v>0.30722452728597222</v>
      </c>
    </row>
    <row r="24" spans="1:21">
      <c r="A24" s="87" t="s">
        <v>156</v>
      </c>
      <c r="B24" s="88">
        <f t="shared" ref="B24:K24" si="10">B23-$T$23</f>
        <v>-1.8053822096527539</v>
      </c>
      <c r="C24" s="83">
        <f t="shared" si="10"/>
        <v>1.9562789399108935</v>
      </c>
      <c r="D24" s="88">
        <f t="shared" si="10"/>
        <v>-1.8053822096527539</v>
      </c>
      <c r="E24" s="88">
        <f t="shared" si="10"/>
        <v>-1.8053822096527539</v>
      </c>
      <c r="F24" s="88">
        <f t="shared" si="10"/>
        <v>-1.8053822096527539</v>
      </c>
      <c r="G24" s="88">
        <f t="shared" si="10"/>
        <v>-1.8053822096527539</v>
      </c>
      <c r="H24" s="88">
        <f t="shared" si="10"/>
        <v>-1.8053822096527539</v>
      </c>
      <c r="I24" s="88">
        <f t="shared" si="10"/>
        <v>-1.8053822096527539</v>
      </c>
      <c r="J24" s="88">
        <f t="shared" si="10"/>
        <v>-1.8053822096527539</v>
      </c>
      <c r="K24" s="83">
        <f t="shared" si="10"/>
        <v>2.0407716365010922</v>
      </c>
      <c r="N24" s="88">
        <f>N23-$T$23</f>
        <v>10.099379695109151</v>
      </c>
      <c r="O24" s="81">
        <f>O23-$T$23</f>
        <v>-1.4919104471891167</v>
      </c>
      <c r="P24" s="88">
        <f>P23-$T$23</f>
        <v>0.24346464186318273</v>
      </c>
      <c r="Q24" s="88">
        <f>Q23-$T$23</f>
        <v>-0.36663679565376106</v>
      </c>
      <c r="R24" s="89"/>
      <c r="S24" s="88">
        <f>S23-$T$23</f>
        <v>-1.4981576823667817</v>
      </c>
      <c r="T24" s="85">
        <f>AVERAGE(F24:S24)</f>
        <v>-2.8260222445003984E-16</v>
      </c>
      <c r="U24" s="86">
        <f>MEDIAN(F24:S24)</f>
        <v>-1.4981576823667817</v>
      </c>
    </row>
    <row r="25" spans="1:21" ht="15">
      <c r="A25" s="96"/>
      <c r="B25" s="100"/>
      <c r="C25" s="102"/>
      <c r="D25" s="101"/>
      <c r="E25" s="100"/>
      <c r="F25" s="100" t="s">
        <v>147</v>
      </c>
      <c r="G25" s="100"/>
      <c r="H25" s="100"/>
      <c r="I25" s="100"/>
      <c r="J25" s="100"/>
      <c r="K25" s="102"/>
      <c r="N25" s="100"/>
      <c r="O25" s="100"/>
      <c r="P25" s="62"/>
      <c r="Q25" s="100"/>
      <c r="R25" s="103"/>
      <c r="S25" s="100"/>
      <c r="T25" s="94" t="s">
        <v>147</v>
      </c>
      <c r="U25" s="95" t="s">
        <v>147</v>
      </c>
    </row>
    <row r="26" spans="1:21" ht="15">
      <c r="A26" s="96" t="s">
        <v>159</v>
      </c>
      <c r="B26" s="104"/>
      <c r="C26" s="106"/>
      <c r="D26" s="105"/>
      <c r="E26" s="104"/>
      <c r="F26" s="104" t="s">
        <v>147</v>
      </c>
      <c r="G26" s="104"/>
      <c r="H26" s="104"/>
      <c r="I26" s="104"/>
      <c r="J26" s="104"/>
      <c r="K26" s="106"/>
      <c r="N26" s="104"/>
      <c r="O26" s="104"/>
      <c r="P26" s="62"/>
      <c r="Q26" s="104"/>
      <c r="R26" s="107"/>
      <c r="S26" s="104"/>
      <c r="T26" s="108" t="s">
        <v>147</v>
      </c>
      <c r="U26" s="109" t="s">
        <v>147</v>
      </c>
    </row>
    <row r="27" spans="1:21" ht="15">
      <c r="A27" s="67" t="s">
        <v>160</v>
      </c>
      <c r="B27" s="68">
        <v>174695</v>
      </c>
      <c r="C27" s="110">
        <v>50000</v>
      </c>
      <c r="D27" s="68">
        <v>100000</v>
      </c>
      <c r="E27" s="68">
        <v>10242</v>
      </c>
      <c r="F27" s="68"/>
      <c r="G27" s="68">
        <v>67675</v>
      </c>
      <c r="H27" s="68"/>
      <c r="I27" s="68">
        <v>15334</v>
      </c>
      <c r="J27" s="68">
        <v>200000</v>
      </c>
      <c r="K27" s="71">
        <v>150000</v>
      </c>
      <c r="N27" s="68">
        <v>250000</v>
      </c>
      <c r="O27" s="68">
        <v>15000</v>
      </c>
      <c r="P27" s="70">
        <v>0</v>
      </c>
      <c r="Q27" s="68">
        <v>109000</v>
      </c>
      <c r="R27" s="72"/>
      <c r="S27" s="68">
        <v>339500</v>
      </c>
      <c r="T27" s="73">
        <f t="shared" ref="T27:T36" si="11">AVERAGE(F27:S27)</f>
        <v>127389.88888888889</v>
      </c>
      <c r="U27" s="74">
        <f t="shared" ref="U27:U36" si="12">MEDIAN(F27:S27)</f>
        <v>109000</v>
      </c>
    </row>
    <row r="28" spans="1:21" ht="15">
      <c r="A28" s="67" t="s">
        <v>161</v>
      </c>
      <c r="B28" s="69">
        <v>14379916</v>
      </c>
      <c r="C28" s="110">
        <v>24615617</v>
      </c>
      <c r="D28" s="68">
        <v>14527681</v>
      </c>
      <c r="E28" s="69">
        <v>19553573</v>
      </c>
      <c r="F28" s="68">
        <v>57208915</v>
      </c>
      <c r="G28" s="69">
        <v>33343006</v>
      </c>
      <c r="H28" s="69">
        <v>15442080</v>
      </c>
      <c r="I28" s="68">
        <v>23278432</v>
      </c>
      <c r="J28" s="69">
        <v>17687039</v>
      </c>
      <c r="K28" s="71">
        <v>18381673</v>
      </c>
      <c r="N28" s="69">
        <v>11250000</v>
      </c>
      <c r="O28" s="68">
        <v>6650000</v>
      </c>
      <c r="P28" s="70">
        <v>15716528</v>
      </c>
      <c r="Q28" s="69">
        <v>13631794</v>
      </c>
      <c r="R28" s="72">
        <v>29223408</v>
      </c>
      <c r="S28" s="69">
        <v>34737444</v>
      </c>
      <c r="T28" s="73">
        <f t="shared" si="11"/>
        <v>23045859.916666668</v>
      </c>
      <c r="U28" s="74">
        <f t="shared" si="12"/>
        <v>18034356</v>
      </c>
    </row>
    <row r="29" spans="1:21" ht="15">
      <c r="A29" s="67" t="s">
        <v>162</v>
      </c>
      <c r="B29" s="69">
        <v>809158</v>
      </c>
      <c r="C29" s="110">
        <v>2462562</v>
      </c>
      <c r="D29" s="68">
        <v>1577768</v>
      </c>
      <c r="E29" s="69">
        <v>831667</v>
      </c>
      <c r="F29" s="68">
        <v>5720891</v>
      </c>
      <c r="G29" s="69">
        <v>3341068</v>
      </c>
      <c r="H29" s="69">
        <v>1544208</v>
      </c>
      <c r="I29" s="68">
        <v>2327843</v>
      </c>
      <c r="J29" s="69">
        <v>1788704</v>
      </c>
      <c r="K29" s="71">
        <v>2320681</v>
      </c>
      <c r="N29" s="69">
        <v>1256500</v>
      </c>
      <c r="O29" s="68">
        <v>380000</v>
      </c>
      <c r="P29" s="70">
        <v>1605799</v>
      </c>
      <c r="Q29" s="69">
        <v>1391879</v>
      </c>
      <c r="R29" s="72">
        <v>2757719</v>
      </c>
      <c r="S29" s="69">
        <v>3347676</v>
      </c>
      <c r="T29" s="73">
        <f t="shared" si="11"/>
        <v>2315247.3333333335</v>
      </c>
      <c r="U29" s="74">
        <f t="shared" si="12"/>
        <v>2054692.5</v>
      </c>
    </row>
    <row r="30" spans="1:21" ht="15">
      <c r="A30" s="111" t="s">
        <v>163</v>
      </c>
      <c r="B30" s="68"/>
      <c r="C30" s="110">
        <v>60000</v>
      </c>
      <c r="D30" s="68"/>
      <c r="E30" s="68"/>
      <c r="F30" s="68"/>
      <c r="G30" s="68"/>
      <c r="H30" s="68"/>
      <c r="I30" s="68">
        <v>250000</v>
      </c>
      <c r="J30" s="68"/>
      <c r="K30" s="71">
        <v>0</v>
      </c>
      <c r="N30" s="68"/>
      <c r="O30" s="68">
        <v>0</v>
      </c>
      <c r="P30" s="70"/>
      <c r="Q30" s="68"/>
      <c r="R30" s="72"/>
      <c r="S30" s="68"/>
      <c r="T30" s="73">
        <f t="shared" si="11"/>
        <v>83333.333333333328</v>
      </c>
      <c r="U30" s="74">
        <f t="shared" si="12"/>
        <v>0</v>
      </c>
    </row>
    <row r="31" spans="1:21" ht="15">
      <c r="A31" s="111" t="s">
        <v>164</v>
      </c>
      <c r="B31" s="68"/>
      <c r="C31" s="110"/>
      <c r="D31" s="68"/>
      <c r="E31" s="68"/>
      <c r="F31" s="68"/>
      <c r="G31" s="68"/>
      <c r="H31" s="68"/>
      <c r="I31" s="68"/>
      <c r="J31" s="68"/>
      <c r="K31" s="71"/>
      <c r="N31" s="68"/>
      <c r="O31" s="68">
        <v>0</v>
      </c>
      <c r="P31" s="70"/>
      <c r="Q31" s="68"/>
      <c r="R31" s="72"/>
      <c r="S31" s="68"/>
      <c r="T31" s="73">
        <f t="shared" si="11"/>
        <v>0</v>
      </c>
      <c r="U31" s="74">
        <f t="shared" si="12"/>
        <v>0</v>
      </c>
    </row>
    <row r="32" spans="1:21">
      <c r="A32" s="112" t="s">
        <v>165</v>
      </c>
      <c r="B32" s="88">
        <f t="shared" ref="B32:K32" si="13">SUM(B27:B31)</f>
        <v>15363769</v>
      </c>
      <c r="C32" s="83">
        <f t="shared" si="13"/>
        <v>27188179</v>
      </c>
      <c r="D32" s="88">
        <f t="shared" si="13"/>
        <v>16205449</v>
      </c>
      <c r="E32" s="88">
        <f t="shared" si="13"/>
        <v>20395482</v>
      </c>
      <c r="F32" s="88">
        <f t="shared" si="13"/>
        <v>62929806</v>
      </c>
      <c r="G32" s="88">
        <f t="shared" si="13"/>
        <v>36751749</v>
      </c>
      <c r="H32" s="88">
        <f t="shared" si="13"/>
        <v>16986288</v>
      </c>
      <c r="I32" s="88">
        <f t="shared" si="13"/>
        <v>25871609</v>
      </c>
      <c r="J32" s="88">
        <f t="shared" si="13"/>
        <v>19675743</v>
      </c>
      <c r="K32" s="83">
        <f t="shared" si="13"/>
        <v>20852354</v>
      </c>
      <c r="L32" s="79">
        <f>SUM(B32:K32)</f>
        <v>262220428</v>
      </c>
      <c r="M32" s="79">
        <f>L32/$L$5</f>
        <v>397906.56752655539</v>
      </c>
      <c r="N32" s="88">
        <f>SUM(N27:N31)</f>
        <v>12756500</v>
      </c>
      <c r="O32" s="88">
        <f>SUM(O27:O31)</f>
        <v>7045000</v>
      </c>
      <c r="P32" s="82">
        <v>17322327</v>
      </c>
      <c r="Q32" s="88">
        <f>SUM(Q27:Q31)</f>
        <v>15132673</v>
      </c>
      <c r="R32" s="89">
        <v>31981127</v>
      </c>
      <c r="S32" s="88">
        <f>SUM(S27:S31)</f>
        <v>38424620</v>
      </c>
      <c r="T32" s="85">
        <f t="shared" si="11"/>
        <v>40596295.040537611</v>
      </c>
      <c r="U32" s="86">
        <f t="shared" si="12"/>
        <v>20264048.5</v>
      </c>
    </row>
    <row r="33" spans="1:21">
      <c r="A33" s="87" t="s">
        <v>153</v>
      </c>
      <c r="B33" s="88">
        <f t="shared" ref="B33:G33" si="14">B32/B5</f>
        <v>415237</v>
      </c>
      <c r="C33" s="83">
        <f t="shared" si="14"/>
        <v>460816.59322033898</v>
      </c>
      <c r="D33" s="88">
        <f t="shared" si="14"/>
        <v>368305.65909090912</v>
      </c>
      <c r="E33" s="88">
        <f t="shared" si="14"/>
        <v>399911.4117647059</v>
      </c>
      <c r="F33" s="88">
        <f t="shared" si="14"/>
        <v>349610.03333333333</v>
      </c>
      <c r="G33" s="88">
        <f t="shared" si="14"/>
        <v>465212.01265822788</v>
      </c>
      <c r="H33" s="88">
        <f>H32/H5</f>
        <v>530821.5</v>
      </c>
      <c r="I33" s="88">
        <f>I32/I5</f>
        <v>438501.84745762713</v>
      </c>
      <c r="J33" s="88">
        <f>J32/J5</f>
        <v>339236.94827586209</v>
      </c>
      <c r="K33" s="83">
        <f>K32/K5</f>
        <v>347539.23333333334</v>
      </c>
      <c r="N33" s="88">
        <f>N32/N5</f>
        <v>364471.42857142858</v>
      </c>
      <c r="O33" s="88">
        <f>O32/O5</f>
        <v>370789.4736842105</v>
      </c>
      <c r="P33" s="88">
        <f>P32/P5</f>
        <v>384940.6</v>
      </c>
      <c r="Q33" s="88">
        <f>Q32/Q5</f>
        <v>265485.49122807017</v>
      </c>
      <c r="R33" s="89"/>
      <c r="S33" s="88">
        <f>S32/S5</f>
        <v>446797.90697674418</v>
      </c>
      <c r="T33" s="85">
        <f t="shared" si="11"/>
        <v>391218.77050171251</v>
      </c>
      <c r="U33" s="86">
        <f t="shared" si="12"/>
        <v>370789.4736842105</v>
      </c>
    </row>
    <row r="34" spans="1:21">
      <c r="A34" s="87" t="s">
        <v>154</v>
      </c>
      <c r="B34" s="88">
        <f t="shared" ref="B34:K34" si="15">B33-$T$33</f>
        <v>24018.229498287488</v>
      </c>
      <c r="C34" s="83">
        <f t="shared" si="15"/>
        <v>69597.82271862647</v>
      </c>
      <c r="D34" s="88">
        <f t="shared" si="15"/>
        <v>-22913.111410803394</v>
      </c>
      <c r="E34" s="88">
        <f t="shared" si="15"/>
        <v>8692.6412629933911</v>
      </c>
      <c r="F34" s="88">
        <f t="shared" si="15"/>
        <v>-41608.737168379186</v>
      </c>
      <c r="G34" s="88">
        <f t="shared" si="15"/>
        <v>73993.242156515364</v>
      </c>
      <c r="H34" s="88">
        <f t="shared" si="15"/>
        <v>139602.72949828749</v>
      </c>
      <c r="I34" s="88">
        <f t="shared" si="15"/>
        <v>47283.076955914614</v>
      </c>
      <c r="J34" s="88">
        <f t="shared" si="15"/>
        <v>-51981.822225850425</v>
      </c>
      <c r="K34" s="83">
        <f t="shared" si="15"/>
        <v>-43679.537168379175</v>
      </c>
      <c r="N34" s="88">
        <f>N33-$T$33</f>
        <v>-26747.341930283932</v>
      </c>
      <c r="O34" s="88">
        <f>O33-$T$33</f>
        <v>-20429.296817502007</v>
      </c>
      <c r="P34" s="88">
        <f>P33-$T$33</f>
        <v>-6278.170501712535</v>
      </c>
      <c r="Q34" s="88">
        <f>Q33-$T$33</f>
        <v>-125733.27927364234</v>
      </c>
      <c r="R34" s="89"/>
      <c r="S34" s="88">
        <f>S33-$T$33</f>
        <v>55579.136475031672</v>
      </c>
      <c r="T34" s="85">
        <f t="shared" si="11"/>
        <v>-4.233284430070357E-11</v>
      </c>
      <c r="U34" s="86">
        <f t="shared" si="12"/>
        <v>-20429.296817502007</v>
      </c>
    </row>
    <row r="35" spans="1:21">
      <c r="A35" s="87" t="s">
        <v>155</v>
      </c>
      <c r="B35" s="88">
        <f t="shared" ref="B35:G35" si="16">B32/B4</f>
        <v>432.27080636992855</v>
      </c>
      <c r="C35" s="83">
        <f t="shared" si="16"/>
        <v>340.90905557227404</v>
      </c>
      <c r="D35" s="88">
        <f t="shared" si="16"/>
        <v>348.70675445957869</v>
      </c>
      <c r="E35" s="88">
        <f t="shared" si="16"/>
        <v>542.44745870900817</v>
      </c>
      <c r="F35" s="88">
        <f t="shared" si="16"/>
        <v>455.45531921053202</v>
      </c>
      <c r="G35" s="88">
        <f t="shared" si="16"/>
        <v>447.05806004281823</v>
      </c>
      <c r="H35" s="88">
        <f>H32/H4</f>
        <v>329.9974355985546</v>
      </c>
      <c r="I35" s="88">
        <f>I32/I4</f>
        <v>393.71808373027346</v>
      </c>
      <c r="J35" s="88">
        <f>J32/J4</f>
        <v>444.39848673066064</v>
      </c>
      <c r="K35" s="83">
        <f>K32/K4</f>
        <v>320.80544615384616</v>
      </c>
      <c r="N35" s="88">
        <f>N32/N4</f>
        <v>607.45238095238096</v>
      </c>
      <c r="O35" s="88">
        <f>O32/C4</f>
        <v>88.336342662252989</v>
      </c>
      <c r="P35" s="88">
        <f>P32/P4</f>
        <v>374.06769888572171</v>
      </c>
      <c r="Q35" s="88">
        <f>Q32/Q4</f>
        <v>272.15079850370478</v>
      </c>
      <c r="R35" s="89"/>
      <c r="S35" s="88">
        <f>S32/S4</f>
        <v>405.66961222141282</v>
      </c>
      <c r="T35" s="85">
        <f t="shared" si="11"/>
        <v>376.28269679019627</v>
      </c>
      <c r="U35" s="86">
        <f t="shared" si="12"/>
        <v>393.71808373027346</v>
      </c>
    </row>
    <row r="36" spans="1:21">
      <c r="A36" s="87" t="s">
        <v>156</v>
      </c>
      <c r="B36" s="88">
        <f t="shared" ref="B36:K36" si="17">B35-$T$35</f>
        <v>55.988109579732281</v>
      </c>
      <c r="C36" s="83">
        <f t="shared" si="17"/>
        <v>-35.373641217922227</v>
      </c>
      <c r="D36" s="88">
        <f t="shared" si="17"/>
        <v>-27.575942330617579</v>
      </c>
      <c r="E36" s="88">
        <f t="shared" si="17"/>
        <v>166.16476191881191</v>
      </c>
      <c r="F36" s="88">
        <f t="shared" si="17"/>
        <v>79.172622420335756</v>
      </c>
      <c r="G36" s="88">
        <f t="shared" si="17"/>
        <v>70.775363252621958</v>
      </c>
      <c r="H36" s="88">
        <f t="shared" si="17"/>
        <v>-46.285261191641666</v>
      </c>
      <c r="I36" s="88">
        <f t="shared" si="17"/>
        <v>17.435386940077194</v>
      </c>
      <c r="J36" s="88">
        <f t="shared" si="17"/>
        <v>68.115789940464367</v>
      </c>
      <c r="K36" s="83">
        <f t="shared" si="17"/>
        <v>-55.477250636350107</v>
      </c>
      <c r="N36" s="88">
        <f>N35-$T$35</f>
        <v>231.16968416218469</v>
      </c>
      <c r="O36" s="88">
        <f>O35-$T$35</f>
        <v>-287.94635412794327</v>
      </c>
      <c r="P36" s="88">
        <f>P35-$T$35</f>
        <v>-2.2149979044745578</v>
      </c>
      <c r="Q36" s="88">
        <f>Q35-$T$35</f>
        <v>-104.13189828649149</v>
      </c>
      <c r="R36" s="89"/>
      <c r="S36" s="88">
        <f>S35-$T$35</f>
        <v>29.386915431216551</v>
      </c>
      <c r="T36" s="85">
        <f t="shared" si="11"/>
        <v>-5.1675835328007285E-14</v>
      </c>
      <c r="U36" s="86">
        <f t="shared" si="12"/>
        <v>17.435386940077194</v>
      </c>
    </row>
    <row r="37" spans="1:21" ht="15">
      <c r="A37" s="113" t="s">
        <v>166</v>
      </c>
      <c r="B37" s="114">
        <f>B36/U35</f>
        <v>0.14220355095014725</v>
      </c>
      <c r="C37" s="92"/>
      <c r="D37" s="91"/>
      <c r="E37" s="90"/>
      <c r="F37" s="90"/>
      <c r="G37" s="90"/>
      <c r="H37" s="114">
        <f>H36/U35</f>
        <v>-0.11755939872792472</v>
      </c>
      <c r="I37" s="90"/>
      <c r="J37" s="90"/>
      <c r="K37" s="92"/>
      <c r="N37" s="114">
        <f>N36/U35</f>
        <v>0.58714520291263361</v>
      </c>
      <c r="O37" s="90"/>
      <c r="P37" s="62"/>
      <c r="Q37" s="90"/>
      <c r="R37" s="93"/>
      <c r="S37" s="90"/>
      <c r="T37" s="94" t="s">
        <v>147</v>
      </c>
      <c r="U37" s="95" t="s">
        <v>147</v>
      </c>
    </row>
    <row r="38" spans="1:21" ht="15">
      <c r="A38" s="59" t="s">
        <v>167</v>
      </c>
      <c r="B38" s="90"/>
      <c r="C38" s="92"/>
      <c r="D38" s="91"/>
      <c r="E38" s="90"/>
      <c r="F38" s="90"/>
      <c r="G38" s="90"/>
      <c r="H38" s="90"/>
      <c r="I38" s="90"/>
      <c r="J38" s="90"/>
      <c r="K38" s="92"/>
      <c r="N38" s="90"/>
      <c r="O38" s="90"/>
      <c r="P38" s="62"/>
      <c r="Q38" s="90"/>
      <c r="R38" s="93"/>
      <c r="S38" s="90"/>
      <c r="T38" s="94" t="s">
        <v>147</v>
      </c>
      <c r="U38" s="95" t="s">
        <v>147</v>
      </c>
    </row>
    <row r="39" spans="1:21" ht="15">
      <c r="A39" s="43" t="s">
        <v>168</v>
      </c>
      <c r="B39" s="75">
        <v>10442</v>
      </c>
      <c r="C39" s="116">
        <v>15000</v>
      </c>
      <c r="D39" s="75">
        <v>8000</v>
      </c>
      <c r="E39" s="75">
        <v>10000</v>
      </c>
      <c r="F39" s="75">
        <v>15000</v>
      </c>
      <c r="G39" s="75">
        <v>8616</v>
      </c>
      <c r="H39" s="75">
        <v>30000</v>
      </c>
      <c r="I39" s="75">
        <v>10000</v>
      </c>
      <c r="J39" s="75">
        <v>8000</v>
      </c>
      <c r="K39" s="117">
        <v>13458</v>
      </c>
      <c r="N39" s="75">
        <v>10000</v>
      </c>
      <c r="O39" s="115">
        <v>2500</v>
      </c>
      <c r="P39" s="70">
        <v>9488</v>
      </c>
      <c r="Q39" s="75">
        <v>10000</v>
      </c>
      <c r="R39" s="77">
        <v>10000</v>
      </c>
      <c r="S39" s="75">
        <v>9700</v>
      </c>
      <c r="T39" s="73">
        <f t="shared" ref="T39:T63" si="18">AVERAGE(F39:S39)</f>
        <v>11396.833333333334</v>
      </c>
      <c r="U39" s="74">
        <f t="shared" ref="U39:U63" si="19">MEDIAN(F39:S39)</f>
        <v>10000</v>
      </c>
    </row>
    <row r="40" spans="1:21" ht="15">
      <c r="A40" s="43" t="s">
        <v>169</v>
      </c>
      <c r="B40" s="75">
        <v>1012380</v>
      </c>
      <c r="C40" s="116">
        <v>1723793</v>
      </c>
      <c r="D40" s="75">
        <v>814000</v>
      </c>
      <c r="E40" s="75">
        <v>802000</v>
      </c>
      <c r="F40" s="75">
        <v>2500000</v>
      </c>
      <c r="G40" s="75">
        <v>1416474</v>
      </c>
      <c r="H40" s="75">
        <v>797104</v>
      </c>
      <c r="I40" s="75">
        <v>2250393</v>
      </c>
      <c r="J40" s="75">
        <v>1076000</v>
      </c>
      <c r="K40" s="117">
        <v>1259560</v>
      </c>
      <c r="N40" s="75">
        <v>650000</v>
      </c>
      <c r="O40" s="115">
        <v>500000</v>
      </c>
      <c r="P40" s="70">
        <v>1392239</v>
      </c>
      <c r="Q40" s="75">
        <v>1600000</v>
      </c>
      <c r="R40" s="77">
        <v>1775501</v>
      </c>
      <c r="S40" s="75">
        <v>1127557</v>
      </c>
      <c r="T40" s="73">
        <f t="shared" si="18"/>
        <v>1362069</v>
      </c>
      <c r="U40" s="74">
        <f t="shared" si="19"/>
        <v>1325899.5</v>
      </c>
    </row>
    <row r="41" spans="1:21" ht="15">
      <c r="A41" s="43" t="s">
        <v>170</v>
      </c>
      <c r="B41" s="75"/>
      <c r="C41" s="116">
        <v>70000</v>
      </c>
      <c r="D41" s="75">
        <v>40000</v>
      </c>
      <c r="E41" s="75">
        <v>6800</v>
      </c>
      <c r="F41" s="75">
        <v>75000</v>
      </c>
      <c r="G41" s="75">
        <v>13010</v>
      </c>
      <c r="H41" s="75">
        <v>25000</v>
      </c>
      <c r="I41" s="75">
        <v>25000</v>
      </c>
      <c r="J41" s="75">
        <v>60000</v>
      </c>
      <c r="K41" s="117">
        <v>15750</v>
      </c>
      <c r="N41" s="75">
        <v>25000</v>
      </c>
      <c r="O41" s="115">
        <v>6000</v>
      </c>
      <c r="P41" s="70">
        <v>37951</v>
      </c>
      <c r="Q41" s="75">
        <v>40000</v>
      </c>
      <c r="R41" s="77">
        <v>27478</v>
      </c>
      <c r="S41" s="75"/>
      <c r="T41" s="73">
        <f t="shared" si="18"/>
        <v>31835.363636363636</v>
      </c>
      <c r="U41" s="74">
        <f t="shared" si="19"/>
        <v>25000</v>
      </c>
    </row>
    <row r="42" spans="1:21" ht="15">
      <c r="A42" s="43" t="s">
        <v>171</v>
      </c>
      <c r="B42" s="75">
        <v>270038</v>
      </c>
      <c r="C42" s="117">
        <v>216875</v>
      </c>
      <c r="D42" s="75"/>
      <c r="E42" s="75">
        <v>131311</v>
      </c>
      <c r="F42" s="75"/>
      <c r="G42" s="75"/>
      <c r="H42" s="75"/>
      <c r="I42" s="75"/>
      <c r="J42" s="75"/>
      <c r="K42" s="117">
        <v>514786</v>
      </c>
      <c r="N42" s="75"/>
      <c r="O42" s="115">
        <v>120000</v>
      </c>
      <c r="P42" s="70">
        <v>96528</v>
      </c>
      <c r="Q42" s="75">
        <v>98000</v>
      </c>
      <c r="R42" s="77"/>
      <c r="S42" s="75">
        <v>270752</v>
      </c>
      <c r="T42" s="73">
        <f t="shared" si="18"/>
        <v>220013.2</v>
      </c>
      <c r="U42" s="74">
        <f t="shared" si="19"/>
        <v>120000</v>
      </c>
    </row>
    <row r="43" spans="1:21" ht="15">
      <c r="A43" s="43" t="s">
        <v>172</v>
      </c>
      <c r="B43" s="75">
        <v>24980</v>
      </c>
      <c r="C43" s="117">
        <v>70000</v>
      </c>
      <c r="D43" s="75">
        <v>35000</v>
      </c>
      <c r="E43" s="75">
        <v>70000</v>
      </c>
      <c r="F43" s="75">
        <v>120000</v>
      </c>
      <c r="G43" s="75">
        <v>25848</v>
      </c>
      <c r="H43" s="75"/>
      <c r="I43" s="75">
        <v>80000</v>
      </c>
      <c r="J43" s="75">
        <v>35000</v>
      </c>
      <c r="K43" s="117">
        <v>71520</v>
      </c>
      <c r="N43" s="75">
        <v>75000</v>
      </c>
      <c r="O43" s="115">
        <v>5000</v>
      </c>
      <c r="P43" s="70">
        <v>67600</v>
      </c>
      <c r="Q43" s="75">
        <v>75000</v>
      </c>
      <c r="R43" s="77">
        <v>91592</v>
      </c>
      <c r="S43" s="75">
        <v>167335</v>
      </c>
      <c r="T43" s="73">
        <f t="shared" si="18"/>
        <v>73990.454545454544</v>
      </c>
      <c r="U43" s="74">
        <f t="shared" si="19"/>
        <v>75000</v>
      </c>
    </row>
    <row r="44" spans="1:21" ht="15">
      <c r="A44" s="43" t="s">
        <v>173</v>
      </c>
      <c r="B44" s="75"/>
      <c r="C44" s="117">
        <v>50000</v>
      </c>
      <c r="D44" s="75"/>
      <c r="E44" s="75"/>
      <c r="F44" s="75">
        <v>75000</v>
      </c>
      <c r="G44" s="75"/>
      <c r="H44" s="75"/>
      <c r="I44" s="75">
        <v>88000</v>
      </c>
      <c r="J44" s="75"/>
      <c r="K44" s="117">
        <v>87475</v>
      </c>
      <c r="N44" s="75">
        <v>20000</v>
      </c>
      <c r="O44" s="115">
        <v>3000</v>
      </c>
      <c r="P44" s="70">
        <v>45541</v>
      </c>
      <c r="Q44" s="75">
        <v>50000</v>
      </c>
      <c r="R44" s="77">
        <v>45796</v>
      </c>
      <c r="S44" s="75"/>
      <c r="T44" s="73">
        <f t="shared" si="18"/>
        <v>51851.5</v>
      </c>
      <c r="U44" s="74">
        <f t="shared" si="19"/>
        <v>47898</v>
      </c>
    </row>
    <row r="45" spans="1:21" ht="15">
      <c r="A45" s="43" t="s">
        <v>174</v>
      </c>
      <c r="B45" s="75"/>
      <c r="C45" s="117">
        <v>22000</v>
      </c>
      <c r="D45" s="75">
        <v>12000</v>
      </c>
      <c r="E45" s="75">
        <v>2150</v>
      </c>
      <c r="F45" s="75">
        <v>25000</v>
      </c>
      <c r="G45" s="75">
        <v>34465</v>
      </c>
      <c r="H45" s="75"/>
      <c r="I45" s="75">
        <v>208600</v>
      </c>
      <c r="J45" s="75">
        <v>12000</v>
      </c>
      <c r="K45" s="117">
        <v>98690</v>
      </c>
      <c r="N45" s="75">
        <v>25000</v>
      </c>
      <c r="O45" s="115">
        <v>5000</v>
      </c>
      <c r="P45" s="70">
        <v>45541</v>
      </c>
      <c r="Q45" s="75">
        <v>50000</v>
      </c>
      <c r="R45" s="77">
        <v>27478</v>
      </c>
      <c r="S45" s="75">
        <v>33950</v>
      </c>
      <c r="T45" s="73">
        <f t="shared" si="18"/>
        <v>51429.454545454544</v>
      </c>
      <c r="U45" s="74">
        <f t="shared" si="19"/>
        <v>33950</v>
      </c>
    </row>
    <row r="46" spans="1:21" ht="15">
      <c r="A46" s="118" t="s">
        <v>175</v>
      </c>
      <c r="B46" s="75">
        <v>28383</v>
      </c>
      <c r="C46" s="117">
        <v>20000</v>
      </c>
      <c r="D46" s="75"/>
      <c r="E46" s="75"/>
      <c r="F46" s="75"/>
      <c r="G46" s="75">
        <v>4308</v>
      </c>
      <c r="H46" s="75"/>
      <c r="I46" s="75"/>
      <c r="J46" s="75"/>
      <c r="K46" s="117">
        <v>81000</v>
      </c>
      <c r="N46" s="75"/>
      <c r="O46" s="115">
        <v>25000</v>
      </c>
      <c r="P46" s="70">
        <v>18976</v>
      </c>
      <c r="Q46" s="75">
        <v>20000</v>
      </c>
      <c r="R46" s="77"/>
      <c r="S46" s="75"/>
      <c r="T46" s="73">
        <f t="shared" si="18"/>
        <v>29856.799999999999</v>
      </c>
      <c r="U46" s="74">
        <f t="shared" si="19"/>
        <v>20000</v>
      </c>
    </row>
    <row r="47" spans="1:21" ht="15">
      <c r="A47" s="43" t="s">
        <v>176</v>
      </c>
      <c r="B47" s="75"/>
      <c r="C47" s="116">
        <v>20000</v>
      </c>
      <c r="D47" s="75">
        <v>308000</v>
      </c>
      <c r="E47" s="75">
        <v>13237</v>
      </c>
      <c r="F47" s="75">
        <v>250000</v>
      </c>
      <c r="G47" s="75">
        <v>43081</v>
      </c>
      <c r="H47" s="75">
        <v>320000</v>
      </c>
      <c r="I47" s="75">
        <v>297192</v>
      </c>
      <c r="J47" s="75">
        <v>406000</v>
      </c>
      <c r="K47" s="117">
        <v>298844</v>
      </c>
      <c r="N47" s="75">
        <v>5000</v>
      </c>
      <c r="O47" s="115">
        <v>15000</v>
      </c>
      <c r="P47" s="70">
        <v>94878</v>
      </c>
      <c r="Q47" s="75">
        <v>200000</v>
      </c>
      <c r="R47" s="77"/>
      <c r="S47" s="75"/>
      <c r="T47" s="73">
        <f t="shared" si="18"/>
        <v>192999.5</v>
      </c>
      <c r="U47" s="74">
        <f t="shared" si="19"/>
        <v>225000</v>
      </c>
    </row>
    <row r="48" spans="1:21" ht="15">
      <c r="A48" s="43" t="s">
        <v>177</v>
      </c>
      <c r="B48" s="75">
        <v>1009889</v>
      </c>
      <c r="C48" s="116">
        <v>1646666</v>
      </c>
      <c r="D48" s="75">
        <v>880000</v>
      </c>
      <c r="E48" s="75">
        <v>1474482</v>
      </c>
      <c r="F48" s="75">
        <v>5293014</v>
      </c>
      <c r="G48" s="75">
        <v>361235</v>
      </c>
      <c r="H48" s="75">
        <v>480000</v>
      </c>
      <c r="I48" s="75">
        <v>1309353</v>
      </c>
      <c r="J48" s="75">
        <v>1160000</v>
      </c>
      <c r="K48" s="117">
        <v>839150</v>
      </c>
      <c r="N48" s="75">
        <v>183750</v>
      </c>
      <c r="O48" s="115">
        <v>80000</v>
      </c>
      <c r="P48" s="70">
        <v>706840</v>
      </c>
      <c r="Q48" s="75">
        <v>1350000</v>
      </c>
      <c r="R48" s="77">
        <v>651385</v>
      </c>
      <c r="S48" s="75">
        <v>1598484</v>
      </c>
      <c r="T48" s="73">
        <f t="shared" si="18"/>
        <v>1167767.5833333333</v>
      </c>
      <c r="U48" s="74">
        <f t="shared" si="19"/>
        <v>772995</v>
      </c>
    </row>
    <row r="49" spans="1:21" ht="15">
      <c r="A49" s="43" t="s">
        <v>178</v>
      </c>
      <c r="B49" s="75"/>
      <c r="C49" s="117">
        <v>30000</v>
      </c>
      <c r="D49" s="75">
        <v>25000</v>
      </c>
      <c r="E49" s="75"/>
      <c r="F49" s="75">
        <v>60000</v>
      </c>
      <c r="G49" s="75">
        <v>20000</v>
      </c>
      <c r="H49" s="75">
        <v>70000</v>
      </c>
      <c r="I49" s="75"/>
      <c r="J49" s="75">
        <v>25000</v>
      </c>
      <c r="K49" s="117">
        <v>25000</v>
      </c>
      <c r="N49" s="75">
        <v>32000</v>
      </c>
      <c r="O49" s="115">
        <v>30000</v>
      </c>
      <c r="P49" s="70">
        <v>42695</v>
      </c>
      <c r="Q49" s="75">
        <v>45000</v>
      </c>
      <c r="R49" s="77">
        <v>35000</v>
      </c>
      <c r="S49" s="75"/>
      <c r="T49" s="73">
        <f t="shared" si="18"/>
        <v>38469.5</v>
      </c>
      <c r="U49" s="74">
        <f t="shared" si="19"/>
        <v>33500</v>
      </c>
    </row>
    <row r="50" spans="1:21" ht="15">
      <c r="A50" s="43" t="s">
        <v>179</v>
      </c>
      <c r="B50" s="75">
        <v>184071</v>
      </c>
      <c r="C50" s="116">
        <v>76000</v>
      </c>
      <c r="D50" s="75">
        <v>130000</v>
      </c>
      <c r="E50" s="75">
        <v>133000</v>
      </c>
      <c r="F50" s="75">
        <v>95000</v>
      </c>
      <c r="G50" s="75">
        <v>68930</v>
      </c>
      <c r="H50" s="75">
        <v>110000</v>
      </c>
      <c r="I50" s="75">
        <v>65000</v>
      </c>
      <c r="J50" s="75">
        <v>145000</v>
      </c>
      <c r="K50" s="117">
        <v>132891</v>
      </c>
      <c r="N50" s="75"/>
      <c r="O50" s="115">
        <v>30000</v>
      </c>
      <c r="P50" s="70">
        <v>166036</v>
      </c>
      <c r="Q50" s="75">
        <v>200000</v>
      </c>
      <c r="R50" s="77"/>
      <c r="S50" s="75">
        <v>102300</v>
      </c>
      <c r="T50" s="73">
        <f t="shared" si="18"/>
        <v>111515.7</v>
      </c>
      <c r="U50" s="74">
        <f t="shared" si="19"/>
        <v>106150</v>
      </c>
    </row>
    <row r="51" spans="1:21" ht="15">
      <c r="A51" s="43" t="s">
        <v>180</v>
      </c>
      <c r="B51" s="75"/>
      <c r="C51" s="117">
        <v>300000</v>
      </c>
      <c r="D51" s="75"/>
      <c r="E51" s="75">
        <v>100000</v>
      </c>
      <c r="F51" s="75">
        <v>50000</v>
      </c>
      <c r="G51" s="75">
        <v>1042563</v>
      </c>
      <c r="H51" s="75"/>
      <c r="I51" s="75">
        <v>1036246</v>
      </c>
      <c r="J51" s="75"/>
      <c r="K51" s="117">
        <v>152520</v>
      </c>
      <c r="N51" s="75">
        <v>97000</v>
      </c>
      <c r="O51" s="115">
        <v>70000</v>
      </c>
      <c r="P51" s="70">
        <v>379512</v>
      </c>
      <c r="Q51" s="75"/>
      <c r="R51" s="77"/>
      <c r="S51" s="75"/>
      <c r="T51" s="73">
        <f t="shared" si="18"/>
        <v>403977.28571428574</v>
      </c>
      <c r="U51" s="74">
        <f t="shared" si="19"/>
        <v>152520</v>
      </c>
    </row>
    <row r="52" spans="1:21" ht="15">
      <c r="A52" s="43" t="s">
        <v>181</v>
      </c>
      <c r="B52" s="75">
        <v>67457</v>
      </c>
      <c r="C52" s="116">
        <v>65000</v>
      </c>
      <c r="D52" s="75"/>
      <c r="E52" s="75">
        <v>35000</v>
      </c>
      <c r="F52" s="75">
        <v>110000</v>
      </c>
      <c r="G52" s="75">
        <v>68930</v>
      </c>
      <c r="H52" s="75">
        <v>50000</v>
      </c>
      <c r="I52" s="75">
        <v>180000</v>
      </c>
      <c r="J52" s="75"/>
      <c r="K52" s="117">
        <v>67288</v>
      </c>
      <c r="N52" s="75">
        <v>40000</v>
      </c>
      <c r="O52" s="115">
        <v>220000</v>
      </c>
      <c r="P52" s="70">
        <v>189756</v>
      </c>
      <c r="Q52" s="75"/>
      <c r="R52" s="77"/>
      <c r="S52" s="75"/>
      <c r="T52" s="73">
        <f t="shared" si="18"/>
        <v>115746.75</v>
      </c>
      <c r="U52" s="74">
        <f t="shared" si="19"/>
        <v>89465</v>
      </c>
    </row>
    <row r="53" spans="1:21" ht="15">
      <c r="A53" s="43" t="s">
        <v>182</v>
      </c>
      <c r="B53" s="75"/>
      <c r="C53" s="117"/>
      <c r="D53" s="75">
        <v>0</v>
      </c>
      <c r="E53" s="75"/>
      <c r="F53" s="75"/>
      <c r="G53" s="75">
        <v>0</v>
      </c>
      <c r="H53" s="75"/>
      <c r="I53" s="75">
        <v>45000</v>
      </c>
      <c r="J53" s="75">
        <v>0</v>
      </c>
      <c r="K53" s="117">
        <v>5000</v>
      </c>
      <c r="N53" s="75">
        <v>0</v>
      </c>
      <c r="O53" s="115">
        <v>0</v>
      </c>
      <c r="P53" s="70">
        <v>0</v>
      </c>
      <c r="Q53" s="75">
        <v>300000</v>
      </c>
      <c r="R53" s="77"/>
      <c r="S53" s="75"/>
      <c r="T53" s="73">
        <f t="shared" si="18"/>
        <v>43750</v>
      </c>
      <c r="U53" s="74">
        <f t="shared" si="19"/>
        <v>0</v>
      </c>
    </row>
    <row r="54" spans="1:21" ht="39">
      <c r="A54" s="119" t="s">
        <v>183</v>
      </c>
      <c r="B54" s="75">
        <v>14988</v>
      </c>
      <c r="C54" s="116">
        <v>60000</v>
      </c>
      <c r="D54" s="75">
        <v>67000</v>
      </c>
      <c r="E54" s="75">
        <v>110000</v>
      </c>
      <c r="F54" s="75">
        <v>35000</v>
      </c>
      <c r="G54" s="75">
        <v>30157</v>
      </c>
      <c r="H54" s="75">
        <v>45000</v>
      </c>
      <c r="I54" s="75">
        <v>53976</v>
      </c>
      <c r="J54" s="75">
        <v>57000</v>
      </c>
      <c r="K54" s="117">
        <v>193481</v>
      </c>
      <c r="N54" s="75">
        <v>55000</v>
      </c>
      <c r="O54" s="115">
        <v>125000</v>
      </c>
      <c r="P54" s="70">
        <v>90134</v>
      </c>
      <c r="Q54" s="75">
        <v>75000</v>
      </c>
      <c r="R54" s="77">
        <v>197937</v>
      </c>
      <c r="S54" s="75">
        <v>15000</v>
      </c>
      <c r="T54" s="73">
        <f t="shared" si="18"/>
        <v>81057.083333333328</v>
      </c>
      <c r="U54" s="74">
        <f t="shared" si="19"/>
        <v>56000</v>
      </c>
    </row>
    <row r="55" spans="1:21" ht="26.25">
      <c r="A55" s="119" t="s">
        <v>184</v>
      </c>
      <c r="B55" s="75">
        <v>9992</v>
      </c>
      <c r="C55" s="116">
        <v>45000</v>
      </c>
      <c r="D55" s="75">
        <v>47432</v>
      </c>
      <c r="E55" s="75">
        <v>65000</v>
      </c>
      <c r="F55" s="75">
        <v>15000</v>
      </c>
      <c r="G55" s="75">
        <v>47389</v>
      </c>
      <c r="H55" s="75">
        <v>10000</v>
      </c>
      <c r="I55" s="75">
        <v>10000</v>
      </c>
      <c r="J55" s="75">
        <v>32795</v>
      </c>
      <c r="K55" s="117">
        <v>28972</v>
      </c>
      <c r="N55" s="75">
        <v>25000</v>
      </c>
      <c r="O55" s="115">
        <v>20000</v>
      </c>
      <c r="P55" s="70">
        <v>0</v>
      </c>
      <c r="Q55" s="75"/>
      <c r="R55" s="77">
        <v>18318</v>
      </c>
      <c r="S55" s="75"/>
      <c r="T55" s="73">
        <f t="shared" si="18"/>
        <v>20747.400000000001</v>
      </c>
      <c r="U55" s="74">
        <f t="shared" si="19"/>
        <v>19159</v>
      </c>
    </row>
    <row r="56" spans="1:21" ht="15">
      <c r="A56" s="43" t="s">
        <v>185</v>
      </c>
      <c r="B56" s="75">
        <v>61000</v>
      </c>
      <c r="C56" s="116">
        <v>98333</v>
      </c>
      <c r="D56" s="75">
        <v>20000</v>
      </c>
      <c r="E56" s="75">
        <v>50000</v>
      </c>
      <c r="F56" s="75">
        <v>325000</v>
      </c>
      <c r="G56" s="75">
        <v>44250</v>
      </c>
      <c r="H56" s="75">
        <v>53333</v>
      </c>
      <c r="I56" s="75">
        <v>170000</v>
      </c>
      <c r="J56" s="75">
        <v>20000</v>
      </c>
      <c r="K56" s="117">
        <v>85000</v>
      </c>
      <c r="N56" s="75">
        <v>30000</v>
      </c>
      <c r="O56" s="115">
        <v>10000</v>
      </c>
      <c r="P56" s="70">
        <v>180000</v>
      </c>
      <c r="Q56" s="75">
        <v>200000</v>
      </c>
      <c r="R56" s="77">
        <v>70000</v>
      </c>
      <c r="S56" s="75">
        <v>90000</v>
      </c>
      <c r="T56" s="73">
        <f t="shared" si="18"/>
        <v>106465.25</v>
      </c>
      <c r="U56" s="74">
        <f t="shared" si="19"/>
        <v>77500</v>
      </c>
    </row>
    <row r="57" spans="1:21" ht="15">
      <c r="A57" s="111" t="s">
        <v>164</v>
      </c>
      <c r="B57" s="75">
        <v>234816</v>
      </c>
      <c r="C57" s="116">
        <v>40000</v>
      </c>
      <c r="D57" s="75">
        <v>298717</v>
      </c>
      <c r="E57" s="75">
        <v>50000</v>
      </c>
      <c r="F57" s="75">
        <v>350000</v>
      </c>
      <c r="G57" s="75">
        <v>150784</v>
      </c>
      <c r="H57" s="75">
        <v>242025</v>
      </c>
      <c r="I57" s="75">
        <v>120000</v>
      </c>
      <c r="J57" s="75">
        <v>350423</v>
      </c>
      <c r="K57" s="117">
        <v>20276</v>
      </c>
      <c r="N57" s="75"/>
      <c r="O57" s="115"/>
      <c r="P57" s="70"/>
      <c r="Q57" s="75">
        <v>130000</v>
      </c>
      <c r="R57" s="77">
        <v>551023</v>
      </c>
      <c r="S57" s="75">
        <v>291000</v>
      </c>
      <c r="T57" s="73">
        <f t="shared" si="18"/>
        <v>245059</v>
      </c>
      <c r="U57" s="74">
        <f t="shared" si="19"/>
        <v>242025</v>
      </c>
    </row>
    <row r="58" spans="1:21" ht="15">
      <c r="A58" s="111" t="s">
        <v>164</v>
      </c>
      <c r="B58" s="75">
        <v>14615</v>
      </c>
      <c r="C58" s="116">
        <v>200000</v>
      </c>
      <c r="D58" s="75"/>
      <c r="E58" s="75">
        <v>496678</v>
      </c>
      <c r="F58" s="75">
        <v>150000</v>
      </c>
      <c r="G58" s="75">
        <v>6893</v>
      </c>
      <c r="H58" s="75"/>
      <c r="I58" s="115">
        <v>300000</v>
      </c>
      <c r="J58" s="75">
        <v>50000</v>
      </c>
      <c r="K58" s="117">
        <v>476126</v>
      </c>
      <c r="N58" s="75"/>
      <c r="O58" s="115"/>
      <c r="P58" s="70">
        <v>94878</v>
      </c>
      <c r="Q58" s="75">
        <v>248000</v>
      </c>
      <c r="R58" s="77"/>
      <c r="S58" s="75">
        <v>197541</v>
      </c>
      <c r="T58" s="73">
        <f t="shared" si="18"/>
        <v>190429.75</v>
      </c>
      <c r="U58" s="74">
        <f t="shared" si="19"/>
        <v>173770.5</v>
      </c>
    </row>
    <row r="59" spans="1:21">
      <c r="A59" s="112" t="s">
        <v>186</v>
      </c>
      <c r="B59" s="81">
        <f t="shared" ref="B59:G59" si="20">SUM(B39:B58)</f>
        <v>2943051</v>
      </c>
      <c r="C59" s="83">
        <f t="shared" si="20"/>
        <v>4768667</v>
      </c>
      <c r="D59" s="81">
        <f t="shared" si="20"/>
        <v>2685149</v>
      </c>
      <c r="E59" s="81">
        <f t="shared" si="20"/>
        <v>3549658</v>
      </c>
      <c r="F59" s="81">
        <f t="shared" si="20"/>
        <v>9543014</v>
      </c>
      <c r="G59" s="81">
        <f t="shared" si="20"/>
        <v>3386933</v>
      </c>
      <c r="H59" s="81">
        <f>SUM(H39:H58)</f>
        <v>2232462</v>
      </c>
      <c r="I59" s="88">
        <f>SUM(I39:I58)</f>
        <v>6248760</v>
      </c>
      <c r="J59" s="81">
        <f>SUM(J39:J58)</f>
        <v>3437218</v>
      </c>
      <c r="K59" s="83">
        <f>SUM(K39:K58)</f>
        <v>4466787</v>
      </c>
      <c r="N59" s="81">
        <f>SUM(N39:N58)</f>
        <v>1272750</v>
      </c>
      <c r="O59" s="88">
        <f>SUM(O39:O58)</f>
        <v>1266500</v>
      </c>
      <c r="P59" s="81">
        <f>SUM(P39:P58)</f>
        <v>3658593</v>
      </c>
      <c r="Q59" s="81">
        <f>SUM(Q39:Q58)</f>
        <v>4691000</v>
      </c>
      <c r="R59" s="84">
        <v>3501508</v>
      </c>
      <c r="S59" s="81">
        <f>SUM(S39:S58)</f>
        <v>3903619</v>
      </c>
      <c r="T59" s="120">
        <f t="shared" si="18"/>
        <v>3967428.6666666665</v>
      </c>
      <c r="U59" s="86">
        <f t="shared" si="19"/>
        <v>3580050.5</v>
      </c>
    </row>
    <row r="60" spans="1:21">
      <c r="A60" s="87" t="s">
        <v>153</v>
      </c>
      <c r="B60" s="81">
        <f t="shared" ref="B60:G60" si="21">B59/B5</f>
        <v>79541.91891891892</v>
      </c>
      <c r="C60" s="83">
        <f t="shared" si="21"/>
        <v>80824.864406779656</v>
      </c>
      <c r="D60" s="81">
        <f t="shared" si="21"/>
        <v>61026.11363636364</v>
      </c>
      <c r="E60" s="81">
        <f t="shared" si="21"/>
        <v>69601.137254901958</v>
      </c>
      <c r="F60" s="81">
        <f t="shared" si="21"/>
        <v>53016.744444444441</v>
      </c>
      <c r="G60" s="81">
        <f t="shared" si="21"/>
        <v>42872.569620253162</v>
      </c>
      <c r="H60" s="81">
        <f>H59/H5</f>
        <v>69764.4375</v>
      </c>
      <c r="I60" s="88">
        <f>I59/I5</f>
        <v>105911.18644067796</v>
      </c>
      <c r="J60" s="81">
        <f>J59/J5</f>
        <v>59262.379310344826</v>
      </c>
      <c r="K60" s="83">
        <f>K59/K5</f>
        <v>74446.45</v>
      </c>
      <c r="N60" s="81">
        <f>N59/N5</f>
        <v>36364.285714285717</v>
      </c>
      <c r="O60" s="88">
        <f>O59/O5</f>
        <v>66657.894736842107</v>
      </c>
      <c r="P60" s="81">
        <f>P59/P5</f>
        <v>81302.066666666666</v>
      </c>
      <c r="Q60" s="81">
        <f>Q59/Q5</f>
        <v>82298.245614035084</v>
      </c>
      <c r="R60" s="121"/>
      <c r="S60" s="81">
        <f>S59/S5</f>
        <v>45390.91860465116</v>
      </c>
      <c r="T60" s="120">
        <f t="shared" si="18"/>
        <v>65207.925332018283</v>
      </c>
      <c r="U60" s="86">
        <f t="shared" si="19"/>
        <v>66657.894736842107</v>
      </c>
    </row>
    <row r="61" spans="1:21">
      <c r="A61" s="87" t="s">
        <v>154</v>
      </c>
      <c r="B61" s="81">
        <f t="shared" ref="B61:K61" si="22">B60-$T$60</f>
        <v>14333.993586900637</v>
      </c>
      <c r="C61" s="83">
        <f t="shared" si="22"/>
        <v>15616.939074761372</v>
      </c>
      <c r="D61" s="81">
        <f t="shared" si="22"/>
        <v>-4181.8116956546437</v>
      </c>
      <c r="E61" s="81">
        <f t="shared" si="22"/>
        <v>4393.2119228836746</v>
      </c>
      <c r="F61" s="81">
        <f t="shared" si="22"/>
        <v>-12191.180887573842</v>
      </c>
      <c r="G61" s="81">
        <f t="shared" si="22"/>
        <v>-22335.355711765122</v>
      </c>
      <c r="H61" s="81">
        <f t="shared" si="22"/>
        <v>4556.5121679817166</v>
      </c>
      <c r="I61" s="88">
        <f t="shared" si="22"/>
        <v>40703.261108659681</v>
      </c>
      <c r="J61" s="81">
        <f t="shared" si="22"/>
        <v>-5945.5460216734573</v>
      </c>
      <c r="K61" s="83">
        <f t="shared" si="22"/>
        <v>9238.5246679817137</v>
      </c>
      <c r="N61" s="81">
        <f>N60-$T$60</f>
        <v>-28843.639617732566</v>
      </c>
      <c r="O61" s="88">
        <f>O60-$T$60</f>
        <v>1449.9694048238234</v>
      </c>
      <c r="P61" s="81">
        <f>P60-$T$60</f>
        <v>16094.141334648382</v>
      </c>
      <c r="Q61" s="81">
        <f>Q60-$T$60</f>
        <v>17090.320282016801</v>
      </c>
      <c r="R61" s="121"/>
      <c r="S61" s="81">
        <f>S60-$T$60</f>
        <v>-19817.006727367123</v>
      </c>
      <c r="T61" s="120">
        <f t="shared" si="18"/>
        <v>0</v>
      </c>
      <c r="U61" s="86">
        <f t="shared" si="19"/>
        <v>1449.9694048238234</v>
      </c>
    </row>
    <row r="62" spans="1:21">
      <c r="A62" s="87" t="s">
        <v>155</v>
      </c>
      <c r="B62" s="81">
        <f t="shared" ref="B62:G62" si="23">B59/B4</f>
        <v>82.804878735017724</v>
      </c>
      <c r="C62" s="83">
        <f t="shared" si="23"/>
        <v>59.793697963687428</v>
      </c>
      <c r="D62" s="81">
        <f t="shared" si="23"/>
        <v>57.77868870096615</v>
      </c>
      <c r="E62" s="81">
        <f t="shared" si="23"/>
        <v>94.408308731615207</v>
      </c>
      <c r="F62" s="81">
        <f t="shared" si="23"/>
        <v>69.067692463577217</v>
      </c>
      <c r="G62" s="81">
        <f t="shared" si="23"/>
        <v>41.199554787855199</v>
      </c>
      <c r="H62" s="81">
        <f>H59/H4</f>
        <v>43.370672572560906</v>
      </c>
      <c r="I62" s="88">
        <f>I59/I4</f>
        <v>95.094580815997318</v>
      </c>
      <c r="J62" s="81">
        <f>J59/J4</f>
        <v>77.633382269904004</v>
      </c>
      <c r="K62" s="83">
        <f>K59/K4</f>
        <v>68.719800000000006</v>
      </c>
      <c r="N62" s="81">
        <f>N59/N4</f>
        <v>60.607142857142854</v>
      </c>
      <c r="O62" s="88">
        <f>O59/C4</f>
        <v>15.880479486407864</v>
      </c>
      <c r="P62" s="81">
        <f>P59/P4</f>
        <v>79.005636175174914</v>
      </c>
      <c r="Q62" s="81">
        <f>Q59/Q4</f>
        <v>84.364434213365939</v>
      </c>
      <c r="R62" s="121"/>
      <c r="S62" s="81">
        <f>S59/S4</f>
        <v>41.21262893400479</v>
      </c>
      <c r="T62" s="120">
        <f t="shared" si="18"/>
        <v>61.468727688726453</v>
      </c>
      <c r="U62" s="86">
        <f t="shared" si="19"/>
        <v>68.719800000000006</v>
      </c>
    </row>
    <row r="63" spans="1:21">
      <c r="A63" s="87" t="s">
        <v>156</v>
      </c>
      <c r="B63" s="81">
        <f t="shared" ref="B63:K63" si="24">B62-$T$62</f>
        <v>21.33615104629127</v>
      </c>
      <c r="C63" s="83">
        <f t="shared" si="24"/>
        <v>-1.6750297250390247</v>
      </c>
      <c r="D63" s="81">
        <f t="shared" si="24"/>
        <v>-3.6900389877603033</v>
      </c>
      <c r="E63" s="81">
        <f t="shared" si="24"/>
        <v>32.939581042888754</v>
      </c>
      <c r="F63" s="81">
        <f t="shared" si="24"/>
        <v>7.5989647748507636</v>
      </c>
      <c r="G63" s="81">
        <f t="shared" si="24"/>
        <v>-20.269172900871254</v>
      </c>
      <c r="H63" s="81">
        <f t="shared" si="24"/>
        <v>-18.098055116165547</v>
      </c>
      <c r="I63" s="88">
        <f t="shared" si="24"/>
        <v>33.625853127270865</v>
      </c>
      <c r="J63" s="81">
        <f t="shared" si="24"/>
        <v>16.164654581177551</v>
      </c>
      <c r="K63" s="83">
        <f t="shared" si="24"/>
        <v>7.2510723112735533</v>
      </c>
      <c r="N63" s="81">
        <f>N62-$T$62</f>
        <v>-0.861584831583599</v>
      </c>
      <c r="O63" s="88">
        <f>O62-$T$62</f>
        <v>-45.588248202318589</v>
      </c>
      <c r="P63" s="81">
        <f>P62-$T$62</f>
        <v>17.536908486448461</v>
      </c>
      <c r="Q63" s="81">
        <f>Q62-$T$62</f>
        <v>22.895706524639486</v>
      </c>
      <c r="R63" s="121"/>
      <c r="S63" s="81">
        <f>S62-$T$62</f>
        <v>-20.256098754721663</v>
      </c>
      <c r="T63" s="120">
        <f t="shared" si="18"/>
        <v>2.5837917664003644E-15</v>
      </c>
      <c r="U63" s="86">
        <f t="shared" si="19"/>
        <v>7.2510723112735533</v>
      </c>
    </row>
    <row r="64" spans="1:21" ht="15">
      <c r="A64" s="113"/>
      <c r="B64" s="114">
        <f>B63/T62</f>
        <v>0.34710578612162141</v>
      </c>
      <c r="C64" s="92"/>
      <c r="D64" s="91"/>
      <c r="E64" s="90"/>
      <c r="F64" s="90"/>
      <c r="G64" s="90"/>
      <c r="H64" s="90"/>
      <c r="I64" s="90"/>
      <c r="J64" s="90"/>
      <c r="K64" s="92"/>
      <c r="N64" s="90"/>
      <c r="O64" s="90"/>
      <c r="P64" s="62"/>
      <c r="Q64" s="90"/>
      <c r="R64" s="93"/>
      <c r="S64" s="90"/>
      <c r="T64" s="94" t="s">
        <v>147</v>
      </c>
      <c r="U64" s="95" t="s">
        <v>147</v>
      </c>
    </row>
    <row r="65" spans="1:21" ht="15">
      <c r="A65" s="122" t="s">
        <v>187</v>
      </c>
      <c r="B65" s="90"/>
      <c r="C65" s="92"/>
      <c r="D65" s="91"/>
      <c r="E65" s="90"/>
      <c r="F65" s="90"/>
      <c r="G65" s="90"/>
      <c r="H65" s="90"/>
      <c r="I65" s="90"/>
      <c r="J65" s="90"/>
      <c r="K65" s="92"/>
      <c r="N65" s="90"/>
      <c r="O65" s="90"/>
      <c r="P65" s="62"/>
      <c r="Q65" s="90"/>
      <c r="R65" s="93"/>
      <c r="S65" s="90"/>
      <c r="T65" s="94" t="s">
        <v>147</v>
      </c>
      <c r="U65" s="95" t="s">
        <v>147</v>
      </c>
    </row>
    <row r="66" spans="1:21" ht="15">
      <c r="A66" s="43" t="s">
        <v>188</v>
      </c>
      <c r="B66" s="115">
        <v>29977</v>
      </c>
      <c r="C66" s="75">
        <v>40000</v>
      </c>
      <c r="D66" s="115">
        <v>50000</v>
      </c>
      <c r="E66" s="115">
        <v>64764</v>
      </c>
      <c r="F66" s="115">
        <v>163800</v>
      </c>
      <c r="G66" s="115">
        <v>22618</v>
      </c>
      <c r="H66" s="115">
        <v>50000</v>
      </c>
      <c r="I66" s="115">
        <v>35000</v>
      </c>
      <c r="J66" s="115">
        <v>50000</v>
      </c>
      <c r="K66" s="75">
        <v>49278</v>
      </c>
      <c r="N66" s="115">
        <v>2500</v>
      </c>
      <c r="O66" s="115">
        <v>6000</v>
      </c>
      <c r="P66" s="70">
        <v>18976</v>
      </c>
      <c r="Q66" s="115">
        <v>20000</v>
      </c>
      <c r="R66" s="123"/>
      <c r="S66" s="115">
        <v>138516</v>
      </c>
      <c r="T66" s="73">
        <f t="shared" ref="T66:T74" si="25">AVERAGE(F66:S66)</f>
        <v>50608</v>
      </c>
      <c r="U66" s="74">
        <f t="shared" ref="U66:U74" si="26">MEDIAN(F66:S66)</f>
        <v>35000</v>
      </c>
    </row>
    <row r="67" spans="1:21" ht="15">
      <c r="A67" s="43" t="s">
        <v>189</v>
      </c>
      <c r="B67" s="115">
        <v>64949</v>
      </c>
      <c r="C67" s="75">
        <v>110000</v>
      </c>
      <c r="D67" s="115">
        <v>100000</v>
      </c>
      <c r="E67" s="115">
        <v>47513</v>
      </c>
      <c r="F67" s="115">
        <v>791212</v>
      </c>
      <c r="G67" s="115">
        <v>86162</v>
      </c>
      <c r="H67" s="115">
        <v>100000</v>
      </c>
      <c r="I67" s="115">
        <v>200000</v>
      </c>
      <c r="J67" s="115">
        <v>100000</v>
      </c>
      <c r="K67" s="75">
        <v>68012</v>
      </c>
      <c r="N67" s="115">
        <v>315000</v>
      </c>
      <c r="O67" s="115">
        <v>22000</v>
      </c>
      <c r="P67" s="70">
        <v>329226</v>
      </c>
      <c r="Q67" s="115">
        <v>270000</v>
      </c>
      <c r="R67" s="123"/>
      <c r="S67" s="115">
        <v>130950</v>
      </c>
      <c r="T67" s="73">
        <f t="shared" si="25"/>
        <v>219323.81818181818</v>
      </c>
      <c r="U67" s="74">
        <f t="shared" si="26"/>
        <v>130950</v>
      </c>
    </row>
    <row r="68" spans="1:21" ht="15">
      <c r="A68" s="43" t="s">
        <v>190</v>
      </c>
      <c r="B68" s="115">
        <v>29976</v>
      </c>
      <c r="C68" s="75">
        <v>57500</v>
      </c>
      <c r="D68" s="115">
        <v>72500</v>
      </c>
      <c r="E68" s="115">
        <v>80725</v>
      </c>
      <c r="F68" s="115">
        <v>250000</v>
      </c>
      <c r="G68" s="115">
        <v>75000</v>
      </c>
      <c r="H68" s="115">
        <v>80625</v>
      </c>
      <c r="I68" s="115">
        <v>86200</v>
      </c>
      <c r="J68" s="115">
        <v>41250</v>
      </c>
      <c r="K68" s="75">
        <v>222500</v>
      </c>
      <c r="N68" s="115">
        <v>218828</v>
      </c>
      <c r="O68" s="115">
        <v>0</v>
      </c>
      <c r="P68" s="70">
        <v>240681</v>
      </c>
      <c r="Q68" s="115">
        <v>243750</v>
      </c>
      <c r="R68" s="123">
        <v>121000</v>
      </c>
      <c r="S68" s="115">
        <v>134575</v>
      </c>
      <c r="T68" s="73">
        <f t="shared" si="25"/>
        <v>142867.41666666666</v>
      </c>
      <c r="U68" s="74">
        <f t="shared" si="26"/>
        <v>127787.5</v>
      </c>
    </row>
    <row r="69" spans="1:21" ht="15">
      <c r="A69" s="43" t="s">
        <v>191</v>
      </c>
      <c r="B69" s="115"/>
      <c r="C69" s="124"/>
      <c r="D69" s="115"/>
      <c r="E69" s="115"/>
      <c r="F69" s="115"/>
      <c r="G69" s="115">
        <v>0</v>
      </c>
      <c r="H69" s="115"/>
      <c r="I69" s="115"/>
      <c r="J69" s="115"/>
      <c r="K69" s="124">
        <v>0</v>
      </c>
      <c r="N69" s="115">
        <v>0</v>
      </c>
      <c r="O69" s="115">
        <v>0</v>
      </c>
      <c r="P69" s="70">
        <v>0</v>
      </c>
      <c r="Q69" s="115">
        <v>0</v>
      </c>
      <c r="R69" s="123"/>
      <c r="S69" s="115"/>
      <c r="T69" s="73">
        <f t="shared" si="25"/>
        <v>0</v>
      </c>
      <c r="U69" s="74">
        <f t="shared" si="26"/>
        <v>0</v>
      </c>
    </row>
    <row r="70" spans="1:21" ht="15">
      <c r="A70" s="125" t="s">
        <v>192</v>
      </c>
      <c r="B70" s="115"/>
      <c r="C70" s="75"/>
      <c r="D70" s="115"/>
      <c r="E70" s="115"/>
      <c r="F70" s="115"/>
      <c r="G70" s="115">
        <v>0</v>
      </c>
      <c r="H70" s="115"/>
      <c r="I70" s="115"/>
      <c r="J70" s="115"/>
      <c r="K70" s="75">
        <v>0</v>
      </c>
      <c r="N70" s="115">
        <v>0</v>
      </c>
      <c r="O70" s="115">
        <v>0</v>
      </c>
      <c r="P70" s="70">
        <v>0</v>
      </c>
      <c r="Q70" s="115">
        <v>0</v>
      </c>
      <c r="R70" s="123"/>
      <c r="S70" s="115"/>
      <c r="T70" s="73">
        <f t="shared" si="25"/>
        <v>0</v>
      </c>
      <c r="U70" s="74">
        <f t="shared" si="26"/>
        <v>0</v>
      </c>
    </row>
    <row r="71" spans="1:21" ht="15">
      <c r="A71" s="43" t="s">
        <v>193</v>
      </c>
      <c r="B71" s="115">
        <v>889234</v>
      </c>
      <c r="C71" s="75">
        <v>274237</v>
      </c>
      <c r="D71" s="115">
        <v>123000</v>
      </c>
      <c r="E71" s="115">
        <v>114542</v>
      </c>
      <c r="F71" s="115">
        <v>374208</v>
      </c>
      <c r="G71" s="115">
        <v>269144</v>
      </c>
      <c r="H71" s="115">
        <v>218750</v>
      </c>
      <c r="I71" s="115">
        <v>161250</v>
      </c>
      <c r="J71" s="115">
        <v>103000</v>
      </c>
      <c r="K71" s="75">
        <v>210209</v>
      </c>
      <c r="N71" s="115">
        <v>92000</v>
      </c>
      <c r="O71" s="115">
        <v>6000</v>
      </c>
      <c r="P71" s="70">
        <v>98673</v>
      </c>
      <c r="Q71" s="115">
        <v>96000</v>
      </c>
      <c r="R71" s="123">
        <v>447199</v>
      </c>
      <c r="S71" s="115"/>
      <c r="T71" s="73">
        <f t="shared" si="25"/>
        <v>188766.63636363635</v>
      </c>
      <c r="U71" s="74">
        <f t="shared" si="26"/>
        <v>161250</v>
      </c>
    </row>
    <row r="72" spans="1:21" ht="15">
      <c r="A72" s="43" t="s">
        <v>194</v>
      </c>
      <c r="B72" s="115"/>
      <c r="C72" s="75">
        <v>1121434</v>
      </c>
      <c r="D72" s="115">
        <v>612000</v>
      </c>
      <c r="E72" s="115">
        <v>832975</v>
      </c>
      <c r="F72" s="115">
        <v>3572894</v>
      </c>
      <c r="G72" s="115">
        <v>1108155</v>
      </c>
      <c r="H72" s="115">
        <v>500000</v>
      </c>
      <c r="I72" s="115">
        <v>1138124</v>
      </c>
      <c r="J72" s="115">
        <v>540000</v>
      </c>
      <c r="K72" s="75">
        <v>1795720</v>
      </c>
      <c r="N72" s="115">
        <v>750000</v>
      </c>
      <c r="O72" s="115">
        <v>2000</v>
      </c>
      <c r="P72" s="70">
        <v>307404</v>
      </c>
      <c r="Q72" s="115">
        <v>349000</v>
      </c>
      <c r="R72" s="123">
        <v>1056173</v>
      </c>
      <c r="S72" s="115">
        <v>1254411</v>
      </c>
      <c r="T72" s="73">
        <f t="shared" si="25"/>
        <v>1031156.75</v>
      </c>
      <c r="U72" s="74">
        <f t="shared" si="26"/>
        <v>903086.5</v>
      </c>
    </row>
    <row r="73" spans="1:21" ht="15">
      <c r="A73" s="43" t="s">
        <v>195</v>
      </c>
      <c r="B73" s="115"/>
      <c r="C73" s="75"/>
      <c r="D73" s="115">
        <v>200387</v>
      </c>
      <c r="E73" s="115"/>
      <c r="F73" s="115"/>
      <c r="G73" s="115"/>
      <c r="H73" s="115">
        <v>50000</v>
      </c>
      <c r="I73" s="115"/>
      <c r="J73" s="115">
        <v>218500</v>
      </c>
      <c r="K73" s="75">
        <v>0</v>
      </c>
      <c r="N73" s="115">
        <v>0</v>
      </c>
      <c r="O73" s="115">
        <v>4000</v>
      </c>
      <c r="P73" s="70">
        <v>47439</v>
      </c>
      <c r="Q73" s="115">
        <v>50000</v>
      </c>
      <c r="R73" s="123">
        <v>274777</v>
      </c>
      <c r="S73" s="115"/>
      <c r="T73" s="73">
        <f t="shared" si="25"/>
        <v>80589.5</v>
      </c>
      <c r="U73" s="74">
        <f t="shared" si="26"/>
        <v>48719.5</v>
      </c>
    </row>
    <row r="74" spans="1:21" ht="15">
      <c r="A74" s="111" t="s">
        <v>164</v>
      </c>
      <c r="B74" s="115"/>
      <c r="C74" s="75">
        <v>215000</v>
      </c>
      <c r="D74" s="115">
        <v>281913</v>
      </c>
      <c r="E74" s="115"/>
      <c r="F74" s="115"/>
      <c r="G74" s="115">
        <v>179428</v>
      </c>
      <c r="H74" s="115">
        <v>3476</v>
      </c>
      <c r="I74" s="115">
        <v>288552</v>
      </c>
      <c r="J74" s="115">
        <v>145500</v>
      </c>
      <c r="K74" s="75">
        <v>15144</v>
      </c>
      <c r="N74" s="115">
        <v>60500</v>
      </c>
      <c r="O74" s="115"/>
      <c r="P74" s="70">
        <v>77000</v>
      </c>
      <c r="Q74" s="115">
        <v>0</v>
      </c>
      <c r="R74" s="123">
        <v>7505</v>
      </c>
      <c r="S74" s="115"/>
      <c r="T74" s="73">
        <f t="shared" si="25"/>
        <v>86345</v>
      </c>
      <c r="U74" s="74">
        <f t="shared" si="26"/>
        <v>60500</v>
      </c>
    </row>
    <row r="75" spans="1:21" ht="15">
      <c r="A75" s="111"/>
      <c r="B75" s="115"/>
      <c r="C75" s="77">
        <v>12500</v>
      </c>
      <c r="D75" s="115">
        <v>161197</v>
      </c>
      <c r="E75" s="115"/>
      <c r="F75" s="115"/>
      <c r="G75" s="115">
        <v>9823</v>
      </c>
      <c r="H75" s="115">
        <v>47625</v>
      </c>
      <c r="I75" s="115">
        <v>219676</v>
      </c>
      <c r="J75" s="115">
        <v>208558</v>
      </c>
      <c r="K75" s="77"/>
      <c r="N75" s="115"/>
      <c r="O75" s="115"/>
      <c r="P75" s="70"/>
      <c r="Q75" s="115">
        <v>20000</v>
      </c>
      <c r="R75" s="123"/>
      <c r="S75" s="115"/>
      <c r="T75" s="73"/>
      <c r="U75" s="74"/>
    </row>
    <row r="76" spans="1:21" ht="15">
      <c r="A76" s="111" t="s">
        <v>164</v>
      </c>
      <c r="B76" s="115"/>
      <c r="C76" s="116"/>
      <c r="D76" s="115"/>
      <c r="E76" s="115"/>
      <c r="F76" s="115"/>
      <c r="G76" s="115"/>
      <c r="H76" s="115"/>
      <c r="I76" s="115">
        <v>172249</v>
      </c>
      <c r="J76" s="115"/>
      <c r="K76" s="117">
        <v>39500</v>
      </c>
      <c r="N76" s="115"/>
      <c r="O76" s="115"/>
      <c r="P76" s="70"/>
      <c r="Q76" s="115"/>
      <c r="R76" s="123">
        <v>22898</v>
      </c>
      <c r="S76" s="115"/>
      <c r="T76" s="73">
        <f t="shared" ref="T76:T81" si="27">AVERAGE(F76:S76)</f>
        <v>78215.666666666672</v>
      </c>
      <c r="U76" s="74">
        <f t="shared" ref="U76:U81" si="28">MEDIAN(F76:S76)</f>
        <v>39500</v>
      </c>
    </row>
    <row r="77" spans="1:21">
      <c r="A77" s="112" t="s">
        <v>196</v>
      </c>
      <c r="B77" s="81">
        <f t="shared" ref="B77:K77" si="29">SUM(B66:B76)</f>
        <v>1014136</v>
      </c>
      <c r="C77" s="127">
        <f t="shared" si="29"/>
        <v>1830671</v>
      </c>
      <c r="D77" s="81">
        <f t="shared" si="29"/>
        <v>1600997</v>
      </c>
      <c r="E77" s="81">
        <f t="shared" si="29"/>
        <v>1140519</v>
      </c>
      <c r="F77" s="81">
        <f t="shared" si="29"/>
        <v>5152114</v>
      </c>
      <c r="G77" s="81">
        <f t="shared" si="29"/>
        <v>1750330</v>
      </c>
      <c r="H77" s="81">
        <f t="shared" si="29"/>
        <v>1050476</v>
      </c>
      <c r="I77" s="81">
        <f t="shared" si="29"/>
        <v>2301051</v>
      </c>
      <c r="J77" s="81">
        <f t="shared" si="29"/>
        <v>1406808</v>
      </c>
      <c r="K77" s="127">
        <f t="shared" si="29"/>
        <v>2400363</v>
      </c>
      <c r="N77" s="81">
        <f>SUM(N66:N76)</f>
        <v>1438828</v>
      </c>
      <c r="O77" s="81">
        <f>SUM(O66:O76)</f>
        <v>40000</v>
      </c>
      <c r="P77" s="126">
        <v>1119399</v>
      </c>
      <c r="Q77" s="81">
        <f>SUM(Q66:Q76)</f>
        <v>1048750</v>
      </c>
      <c r="R77" s="84">
        <v>1929552</v>
      </c>
      <c r="S77" s="81">
        <f>SUM(S66:S76)</f>
        <v>1658452</v>
      </c>
      <c r="T77" s="120">
        <f t="shared" si="27"/>
        <v>1774676.9166666667</v>
      </c>
      <c r="U77" s="86">
        <f t="shared" si="28"/>
        <v>1548640</v>
      </c>
    </row>
    <row r="78" spans="1:21">
      <c r="A78" s="87" t="s">
        <v>153</v>
      </c>
      <c r="B78" s="81">
        <f t="shared" ref="B78:G78" si="30">B77/B5</f>
        <v>27409.08108108108</v>
      </c>
      <c r="C78" s="83">
        <f t="shared" si="30"/>
        <v>31028.322033898305</v>
      </c>
      <c r="D78" s="81">
        <f t="shared" si="30"/>
        <v>36386.295454545456</v>
      </c>
      <c r="E78" s="81">
        <f t="shared" si="30"/>
        <v>22363.117647058825</v>
      </c>
      <c r="F78" s="81">
        <f t="shared" si="30"/>
        <v>28622.855555555554</v>
      </c>
      <c r="G78" s="81">
        <f t="shared" si="30"/>
        <v>22156.075949367088</v>
      </c>
      <c r="H78" s="81">
        <f>H77/H5</f>
        <v>32827.375</v>
      </c>
      <c r="I78" s="88">
        <f>I77/I5</f>
        <v>39000.864406779663</v>
      </c>
      <c r="J78" s="81">
        <f>J77/J5</f>
        <v>24255.310344827587</v>
      </c>
      <c r="K78" s="83">
        <f>K77/K5</f>
        <v>40006.050000000003</v>
      </c>
      <c r="N78" s="81">
        <f>N77/N5</f>
        <v>41109.37142857143</v>
      </c>
      <c r="O78" s="88">
        <f>O77/O5</f>
        <v>2105.2631578947367</v>
      </c>
      <c r="P78" s="81">
        <f>P77/P5</f>
        <v>24875.533333333333</v>
      </c>
      <c r="Q78" s="81">
        <f>Q77/Q5</f>
        <v>18399.122807017542</v>
      </c>
      <c r="R78" s="121"/>
      <c r="S78" s="81">
        <f>S77/S5</f>
        <v>19284.325581395347</v>
      </c>
      <c r="T78" s="120">
        <f t="shared" si="27"/>
        <v>26603.831596794756</v>
      </c>
      <c r="U78" s="86">
        <f t="shared" si="28"/>
        <v>24875.533333333333</v>
      </c>
    </row>
    <row r="79" spans="1:21">
      <c r="A79" s="87" t="s">
        <v>154</v>
      </c>
      <c r="B79" s="81">
        <f t="shared" ref="B79:K79" si="31">B78-$T$78</f>
        <v>805.24948428632342</v>
      </c>
      <c r="C79" s="83">
        <f t="shared" si="31"/>
        <v>4424.4904371035482</v>
      </c>
      <c r="D79" s="81">
        <f t="shared" si="31"/>
        <v>9782.4638577506994</v>
      </c>
      <c r="E79" s="81">
        <f t="shared" si="31"/>
        <v>-4240.7139497359312</v>
      </c>
      <c r="F79" s="81">
        <f t="shared" si="31"/>
        <v>2019.0239587607975</v>
      </c>
      <c r="G79" s="81">
        <f t="shared" si="31"/>
        <v>-4447.755647427668</v>
      </c>
      <c r="H79" s="81">
        <f t="shared" si="31"/>
        <v>6223.5434032052435</v>
      </c>
      <c r="I79" s="88">
        <f t="shared" si="31"/>
        <v>12397.032809984907</v>
      </c>
      <c r="J79" s="81">
        <f t="shared" si="31"/>
        <v>-2348.5212519671695</v>
      </c>
      <c r="K79" s="83">
        <f t="shared" si="31"/>
        <v>13402.218403205246</v>
      </c>
      <c r="N79" s="81">
        <f>N78-$T$78</f>
        <v>14505.539831776674</v>
      </c>
      <c r="O79" s="88">
        <f>O78-$T$78</f>
        <v>-24498.56843890002</v>
      </c>
      <c r="P79" s="81">
        <f>P78-$T$78</f>
        <v>-1728.2982634614236</v>
      </c>
      <c r="Q79" s="81">
        <f>Q78-$T$78</f>
        <v>-8204.7087897772144</v>
      </c>
      <c r="R79" s="121"/>
      <c r="S79" s="81">
        <f>S78-$T$78</f>
        <v>-7319.5060153994091</v>
      </c>
      <c r="T79" s="120">
        <f t="shared" si="27"/>
        <v>-3.3072534609924662E-12</v>
      </c>
      <c r="U79" s="86">
        <f t="shared" si="28"/>
        <v>-1728.2982634614236</v>
      </c>
    </row>
    <row r="80" spans="1:21">
      <c r="A80" s="87" t="s">
        <v>155</v>
      </c>
      <c r="B80" s="81">
        <f t="shared" ref="B80:G80" si="32">B77/B4</f>
        <v>28.533453379100781</v>
      </c>
      <c r="C80" s="83">
        <f t="shared" si="32"/>
        <v>22.954546594442771</v>
      </c>
      <c r="D80" s="81">
        <f t="shared" si="32"/>
        <v>34.450046263421768</v>
      </c>
      <c r="E80" s="81">
        <f t="shared" si="32"/>
        <v>30.333758876565867</v>
      </c>
      <c r="F80" s="81">
        <f t="shared" si="32"/>
        <v>37.288494524821054</v>
      </c>
      <c r="G80" s="81">
        <f t="shared" si="32"/>
        <v>21.291480147917479</v>
      </c>
      <c r="H80" s="81">
        <f>H77/H4</f>
        <v>20.407895248086412</v>
      </c>
      <c r="I80" s="88">
        <f>I77/I4</f>
        <v>35.017744365479146</v>
      </c>
      <c r="J80" s="81">
        <f>J77/J4</f>
        <v>31.774319593450027</v>
      </c>
      <c r="K80" s="83">
        <f>K77/K4</f>
        <v>36.92866153846154</v>
      </c>
      <c r="N80" s="81">
        <f>N77/N4</f>
        <v>68.515619047619055</v>
      </c>
      <c r="O80" s="88">
        <f>O77/C4</f>
        <v>0.50155481994181961</v>
      </c>
      <c r="P80" s="81">
        <f>P77/P4</f>
        <v>24.172907488986784</v>
      </c>
      <c r="Q80" s="81">
        <f>Q77/Q4</f>
        <v>18.861053161643046</v>
      </c>
      <c r="R80" s="121"/>
      <c r="S80" s="81">
        <f>S77/S4</f>
        <v>17.509179784414954</v>
      </c>
      <c r="T80" s="120">
        <f t="shared" si="27"/>
        <v>28.388082701892845</v>
      </c>
      <c r="U80" s="86">
        <f t="shared" si="28"/>
        <v>24.172907488986784</v>
      </c>
    </row>
    <row r="81" spans="1:21">
      <c r="A81" s="87" t="s">
        <v>156</v>
      </c>
      <c r="B81" s="81">
        <f t="shared" ref="B81:K81" si="33">B80-$T$80</f>
        <v>0.14537067720793573</v>
      </c>
      <c r="C81" s="83">
        <f t="shared" si="33"/>
        <v>-5.4335361074500739</v>
      </c>
      <c r="D81" s="81">
        <f t="shared" si="33"/>
        <v>6.0619635615289233</v>
      </c>
      <c r="E81" s="81">
        <f t="shared" si="33"/>
        <v>1.9456761746730216</v>
      </c>
      <c r="F81" s="81">
        <f t="shared" si="33"/>
        <v>8.9004118229282092</v>
      </c>
      <c r="G81" s="81">
        <f t="shared" si="33"/>
        <v>-7.0966025539753659</v>
      </c>
      <c r="H81" s="81">
        <f t="shared" si="33"/>
        <v>-7.9801874538064332</v>
      </c>
      <c r="I81" s="88">
        <f t="shared" si="33"/>
        <v>6.629661663586301</v>
      </c>
      <c r="J81" s="81">
        <f t="shared" si="33"/>
        <v>3.3862368915571821</v>
      </c>
      <c r="K81" s="83">
        <f t="shared" si="33"/>
        <v>8.5405788365686952</v>
      </c>
      <c r="N81" s="81">
        <f>N80-$T$80</f>
        <v>40.127536345726213</v>
      </c>
      <c r="O81" s="88">
        <f>O80-$T$80</f>
        <v>-27.886527881951025</v>
      </c>
      <c r="P81" s="81">
        <f>P80-$T$80</f>
        <v>-4.2151752129060611</v>
      </c>
      <c r="Q81" s="81">
        <f>Q80-$T$80</f>
        <v>-9.5270295402497993</v>
      </c>
      <c r="R81" s="121"/>
      <c r="S81" s="81">
        <f>S80-$T$80</f>
        <v>-10.878902917477891</v>
      </c>
      <c r="T81" s="120">
        <f t="shared" si="27"/>
        <v>2.2608177956003187E-15</v>
      </c>
      <c r="U81" s="86">
        <f t="shared" si="28"/>
        <v>-4.2151752129060611</v>
      </c>
    </row>
    <row r="82" spans="1:21" ht="15">
      <c r="A82" s="113"/>
      <c r="B82" s="128"/>
      <c r="C82" s="129"/>
      <c r="D82" s="91"/>
      <c r="E82" s="128"/>
      <c r="F82" s="128"/>
      <c r="G82" s="128"/>
      <c r="H82" s="128"/>
      <c r="I82" s="128"/>
      <c r="J82" s="128"/>
      <c r="K82" s="129"/>
      <c r="N82" s="128"/>
      <c r="O82" s="128"/>
      <c r="P82" s="62"/>
      <c r="Q82" s="128"/>
      <c r="R82" s="93"/>
      <c r="S82" s="128"/>
      <c r="T82" s="94" t="s">
        <v>147</v>
      </c>
      <c r="U82" s="95" t="s">
        <v>147</v>
      </c>
    </row>
    <row r="83" spans="1:21" ht="15">
      <c r="A83" s="59" t="s">
        <v>197</v>
      </c>
      <c r="B83" s="90"/>
      <c r="C83" s="92"/>
      <c r="D83" s="91"/>
      <c r="E83" s="90"/>
      <c r="F83" s="90"/>
      <c r="G83" s="90"/>
      <c r="H83" s="90"/>
      <c r="I83" s="90"/>
      <c r="J83" s="90"/>
      <c r="K83" s="92"/>
      <c r="N83" s="90"/>
      <c r="O83" s="90"/>
      <c r="P83" s="62"/>
      <c r="Q83" s="90"/>
      <c r="R83" s="93"/>
      <c r="S83" s="90"/>
      <c r="T83" s="94" t="s">
        <v>147</v>
      </c>
      <c r="U83" s="95" t="s">
        <v>147</v>
      </c>
    </row>
    <row r="84" spans="1:21" ht="15">
      <c r="A84" s="59" t="s">
        <v>198</v>
      </c>
      <c r="B84" s="130">
        <v>39969</v>
      </c>
      <c r="C84" s="116"/>
      <c r="D84" s="75"/>
      <c r="E84" s="130">
        <v>15000</v>
      </c>
      <c r="F84" s="130">
        <v>35000</v>
      </c>
      <c r="G84" s="130"/>
      <c r="H84" s="130">
        <v>33333</v>
      </c>
      <c r="I84" s="115">
        <v>40000</v>
      </c>
      <c r="J84" s="130"/>
      <c r="K84" s="117">
        <v>0</v>
      </c>
      <c r="N84" s="130"/>
      <c r="O84" s="115">
        <v>0</v>
      </c>
      <c r="P84" s="70"/>
      <c r="Q84" s="130"/>
      <c r="R84" s="77"/>
      <c r="S84" s="130">
        <v>16490</v>
      </c>
      <c r="T84" s="73">
        <f t="shared" ref="T84:T94" si="34">AVERAGE(F84:S84)</f>
        <v>20803.833333333332</v>
      </c>
      <c r="U84" s="74">
        <f t="shared" ref="U84:U94" si="35">MEDIAN(F84:S84)</f>
        <v>24911.5</v>
      </c>
    </row>
    <row r="85" spans="1:21" ht="15">
      <c r="A85" s="59" t="s">
        <v>199</v>
      </c>
      <c r="B85" s="130">
        <v>16987</v>
      </c>
      <c r="C85" s="116">
        <v>40500</v>
      </c>
      <c r="D85" s="75">
        <v>30000</v>
      </c>
      <c r="E85" s="130">
        <v>100000</v>
      </c>
      <c r="F85" s="130">
        <v>50000</v>
      </c>
      <c r="G85" s="130">
        <v>75000</v>
      </c>
      <c r="H85" s="130">
        <v>33333</v>
      </c>
      <c r="I85" s="115">
        <v>55000</v>
      </c>
      <c r="J85" s="130">
        <v>35000</v>
      </c>
      <c r="K85" s="117">
        <v>50000</v>
      </c>
      <c r="N85" s="130">
        <v>40000</v>
      </c>
      <c r="O85" s="115">
        <v>0</v>
      </c>
      <c r="P85" s="70"/>
      <c r="Q85" s="130"/>
      <c r="R85" s="77">
        <v>60000</v>
      </c>
      <c r="S85" s="130">
        <v>39285</v>
      </c>
      <c r="T85" s="73">
        <f t="shared" si="34"/>
        <v>43761.8</v>
      </c>
      <c r="U85" s="74">
        <f t="shared" si="35"/>
        <v>45000</v>
      </c>
    </row>
    <row r="86" spans="1:21" ht="15">
      <c r="A86" s="43" t="s">
        <v>200</v>
      </c>
      <c r="B86" s="130">
        <v>44965</v>
      </c>
      <c r="C86" s="116">
        <v>50000</v>
      </c>
      <c r="D86" s="75"/>
      <c r="E86" s="130">
        <v>40000</v>
      </c>
      <c r="F86" s="130">
        <v>50000</v>
      </c>
      <c r="G86" s="130">
        <v>65000</v>
      </c>
      <c r="H86" s="130">
        <v>33334</v>
      </c>
      <c r="I86" s="115">
        <v>45000</v>
      </c>
      <c r="J86" s="130"/>
      <c r="K86" s="117">
        <v>75000</v>
      </c>
      <c r="N86" s="130">
        <v>10000</v>
      </c>
      <c r="O86" s="115">
        <v>0</v>
      </c>
      <c r="P86" s="70"/>
      <c r="Q86" s="130"/>
      <c r="R86" s="77">
        <v>50000</v>
      </c>
      <c r="S86" s="130">
        <v>43650</v>
      </c>
      <c r="T86" s="73">
        <f t="shared" si="34"/>
        <v>41331.555555555555</v>
      </c>
      <c r="U86" s="74">
        <f t="shared" si="35"/>
        <v>45000</v>
      </c>
    </row>
    <row r="87" spans="1:21" ht="15">
      <c r="A87" s="131" t="s">
        <v>201</v>
      </c>
      <c r="B87" s="130">
        <v>25672</v>
      </c>
      <c r="C87" s="116">
        <v>40834</v>
      </c>
      <c r="D87" s="75">
        <v>74000</v>
      </c>
      <c r="E87" s="130">
        <v>52817</v>
      </c>
      <c r="F87" s="130">
        <v>656546</v>
      </c>
      <c r="G87" s="130">
        <v>54712</v>
      </c>
      <c r="H87" s="130">
        <v>78935</v>
      </c>
      <c r="I87" s="75">
        <v>40852</v>
      </c>
      <c r="J87" s="130">
        <v>85000</v>
      </c>
      <c r="K87" s="117">
        <v>38656</v>
      </c>
      <c r="N87" s="130">
        <v>16350</v>
      </c>
      <c r="O87" s="115">
        <v>0</v>
      </c>
      <c r="P87" s="70"/>
      <c r="Q87" s="130">
        <v>79000</v>
      </c>
      <c r="R87" s="77">
        <v>47250</v>
      </c>
      <c r="S87" s="130">
        <v>54512</v>
      </c>
      <c r="T87" s="73">
        <f t="shared" si="34"/>
        <v>104710.27272727272</v>
      </c>
      <c r="U87" s="74">
        <f t="shared" si="35"/>
        <v>54512</v>
      </c>
    </row>
    <row r="88" spans="1:21" ht="15">
      <c r="A88" s="111" t="s">
        <v>164</v>
      </c>
      <c r="B88" s="115">
        <v>469345</v>
      </c>
      <c r="C88" s="117"/>
      <c r="D88" s="115"/>
      <c r="E88" s="115">
        <v>101481</v>
      </c>
      <c r="F88" s="115"/>
      <c r="G88" s="115"/>
      <c r="H88" s="115"/>
      <c r="I88" s="115">
        <v>10000</v>
      </c>
      <c r="J88" s="115"/>
      <c r="K88" s="117">
        <v>0</v>
      </c>
      <c r="N88" s="115"/>
      <c r="O88" s="115">
        <v>0</v>
      </c>
      <c r="P88" s="70"/>
      <c r="Q88" s="115"/>
      <c r="R88" s="123"/>
      <c r="S88" s="115">
        <v>622974</v>
      </c>
      <c r="T88" s="73">
        <f t="shared" si="34"/>
        <v>158243.5</v>
      </c>
      <c r="U88" s="74">
        <f t="shared" si="35"/>
        <v>5000</v>
      </c>
    </row>
    <row r="89" spans="1:21" ht="15">
      <c r="A89" s="111" t="s">
        <v>164</v>
      </c>
      <c r="B89" s="115"/>
      <c r="C89" s="117"/>
      <c r="D89" s="115"/>
      <c r="E89" s="115"/>
      <c r="F89" s="115"/>
      <c r="G89" s="115"/>
      <c r="H89" s="115"/>
      <c r="I89" s="115"/>
      <c r="J89" s="115"/>
      <c r="K89" s="117">
        <v>0</v>
      </c>
      <c r="N89" s="115"/>
      <c r="O89" s="115">
        <v>0</v>
      </c>
      <c r="P89" s="70"/>
      <c r="Q89" s="115"/>
      <c r="R89" s="123"/>
      <c r="S89" s="115"/>
      <c r="T89" s="73">
        <f t="shared" si="34"/>
        <v>0</v>
      </c>
      <c r="U89" s="74">
        <f t="shared" si="35"/>
        <v>0</v>
      </c>
    </row>
    <row r="90" spans="1:21">
      <c r="A90" s="132" t="s">
        <v>202</v>
      </c>
      <c r="B90" s="88">
        <f t="shared" ref="B90:K90" si="36">SUM(B84:B89)</f>
        <v>596938</v>
      </c>
      <c r="C90" s="83">
        <f t="shared" si="36"/>
        <v>131334</v>
      </c>
      <c r="D90" s="88">
        <f t="shared" si="36"/>
        <v>104000</v>
      </c>
      <c r="E90" s="88">
        <f t="shared" si="36"/>
        <v>309298</v>
      </c>
      <c r="F90" s="88">
        <f t="shared" si="36"/>
        <v>791546</v>
      </c>
      <c r="G90" s="88">
        <f t="shared" si="36"/>
        <v>194712</v>
      </c>
      <c r="H90" s="88">
        <f t="shared" si="36"/>
        <v>178935</v>
      </c>
      <c r="I90" s="88">
        <f t="shared" si="36"/>
        <v>190852</v>
      </c>
      <c r="J90" s="88">
        <f t="shared" si="36"/>
        <v>120000</v>
      </c>
      <c r="K90" s="83">
        <f t="shared" si="36"/>
        <v>163656</v>
      </c>
      <c r="N90" s="88">
        <f>SUM(N84:N89)</f>
        <v>66350</v>
      </c>
      <c r="O90" s="88">
        <f>SUM(O84:O89)</f>
        <v>0</v>
      </c>
      <c r="P90" s="82"/>
      <c r="Q90" s="88">
        <f>SUM(Q84:Q89)</f>
        <v>79000</v>
      </c>
      <c r="R90" s="133">
        <v>157250</v>
      </c>
      <c r="S90" s="88">
        <f>SUM(S84:S89)</f>
        <v>776911</v>
      </c>
      <c r="T90" s="120">
        <f t="shared" si="34"/>
        <v>247201.09090909091</v>
      </c>
      <c r="U90" s="86">
        <f t="shared" si="35"/>
        <v>163656</v>
      </c>
    </row>
    <row r="91" spans="1:21">
      <c r="A91" s="87" t="s">
        <v>153</v>
      </c>
      <c r="B91" s="88">
        <f t="shared" ref="B91:G91" si="37">B90/B5</f>
        <v>16133.45945945946</v>
      </c>
      <c r="C91" s="83">
        <f t="shared" si="37"/>
        <v>2226</v>
      </c>
      <c r="D91" s="88">
        <f t="shared" si="37"/>
        <v>2363.6363636363635</v>
      </c>
      <c r="E91" s="88">
        <f t="shared" si="37"/>
        <v>6064.666666666667</v>
      </c>
      <c r="F91" s="88">
        <f t="shared" si="37"/>
        <v>4397.4777777777781</v>
      </c>
      <c r="G91" s="88">
        <f t="shared" si="37"/>
        <v>2464.7088607594937</v>
      </c>
      <c r="H91" s="88">
        <f>H90/H5</f>
        <v>5591.71875</v>
      </c>
      <c r="I91" s="88">
        <f>I90/I5</f>
        <v>3234.7796610169494</v>
      </c>
      <c r="J91" s="88">
        <f>J90/J5</f>
        <v>2068.9655172413795</v>
      </c>
      <c r="K91" s="83">
        <f>K90/K5</f>
        <v>2727.6</v>
      </c>
      <c r="N91" s="88">
        <f>N90/N5</f>
        <v>1895.7142857142858</v>
      </c>
      <c r="O91" s="88">
        <f>O90/O5</f>
        <v>0</v>
      </c>
      <c r="P91" s="88">
        <f>P90/P5</f>
        <v>0</v>
      </c>
      <c r="Q91" s="88">
        <f>Q90/Q5</f>
        <v>1385.9649122807018</v>
      </c>
      <c r="R91" s="89"/>
      <c r="S91" s="88">
        <f>S90/S5</f>
        <v>9033.8488372093016</v>
      </c>
      <c r="T91" s="120">
        <f t="shared" si="34"/>
        <v>2981.8889638181718</v>
      </c>
      <c r="U91" s="86">
        <f t="shared" si="35"/>
        <v>2464.7088607594937</v>
      </c>
    </row>
    <row r="92" spans="1:21">
      <c r="A92" s="87" t="s">
        <v>154</v>
      </c>
      <c r="B92" s="88">
        <f t="shared" ref="B92:K92" si="38">B91-$T$91</f>
        <v>13151.570495641288</v>
      </c>
      <c r="C92" s="83">
        <f t="shared" si="38"/>
        <v>-755.88896381817176</v>
      </c>
      <c r="D92" s="88">
        <f t="shared" si="38"/>
        <v>-618.25260018180825</v>
      </c>
      <c r="E92" s="88">
        <f t="shared" si="38"/>
        <v>3082.7777028484952</v>
      </c>
      <c r="F92" s="88">
        <f t="shared" si="38"/>
        <v>1415.5888139596063</v>
      </c>
      <c r="G92" s="88">
        <f t="shared" si="38"/>
        <v>-517.18010305867801</v>
      </c>
      <c r="H92" s="88">
        <f t="shared" si="38"/>
        <v>2609.8297861818282</v>
      </c>
      <c r="I92" s="88">
        <f t="shared" si="38"/>
        <v>252.89069719877762</v>
      </c>
      <c r="J92" s="88">
        <f t="shared" si="38"/>
        <v>-912.92344657679223</v>
      </c>
      <c r="K92" s="83">
        <f t="shared" si="38"/>
        <v>-254.28896381817185</v>
      </c>
      <c r="N92" s="88">
        <f>N91-$T$91</f>
        <v>-1086.174678103886</v>
      </c>
      <c r="O92" s="88">
        <f>O91-$T$91</f>
        <v>-2981.8889638181718</v>
      </c>
      <c r="P92" s="88">
        <f>P91-$T$91</f>
        <v>-2981.8889638181718</v>
      </c>
      <c r="Q92" s="88">
        <f>Q91-$T$91</f>
        <v>-1595.9240515374699</v>
      </c>
      <c r="R92" s="89"/>
      <c r="S92" s="88">
        <f>S91-$T$91</f>
        <v>6051.9598733911298</v>
      </c>
      <c r="T92" s="120">
        <f t="shared" si="34"/>
        <v>0</v>
      </c>
      <c r="U92" s="86">
        <f t="shared" si="35"/>
        <v>-517.18010305867801</v>
      </c>
    </row>
    <row r="93" spans="1:21">
      <c r="A93" s="87" t="s">
        <v>155</v>
      </c>
      <c r="B93" s="88">
        <f t="shared" ref="B93:G93" si="39">B90/B4</f>
        <v>16.7952844521974</v>
      </c>
      <c r="C93" s="83">
        <f t="shared" si="39"/>
        <v>1.6467800180559735</v>
      </c>
      <c r="D93" s="88">
        <f t="shared" si="39"/>
        <v>2.2378585415187313</v>
      </c>
      <c r="E93" s="88">
        <f t="shared" si="39"/>
        <v>8.2262294209952387</v>
      </c>
      <c r="F93" s="88">
        <f t="shared" si="39"/>
        <v>5.7288248449362733</v>
      </c>
      <c r="G93" s="88">
        <f t="shared" si="39"/>
        <v>2.3685286103542236</v>
      </c>
      <c r="H93" s="88">
        <f>H90/H4</f>
        <v>3.476221004779112</v>
      </c>
      <c r="I93" s="88">
        <f>I90/I4</f>
        <v>2.9044147859566891</v>
      </c>
      <c r="J93" s="88">
        <f>J90/J4</f>
        <v>2.710333145115754</v>
      </c>
      <c r="K93" s="83">
        <f>K90/K4</f>
        <v>2.5177846153846155</v>
      </c>
      <c r="N93" s="88">
        <f>N90/N4</f>
        <v>3.1595238095238094</v>
      </c>
      <c r="O93" s="88">
        <f>O90/C4</f>
        <v>0</v>
      </c>
      <c r="P93" s="88">
        <f>P90/P4</f>
        <v>0</v>
      </c>
      <c r="Q93" s="88">
        <f>Q90/Q4</f>
        <v>1.4207610963240054</v>
      </c>
      <c r="R93" s="89"/>
      <c r="S93" s="88">
        <f>S90/S4</f>
        <v>8.2022719834457707</v>
      </c>
      <c r="T93" s="120">
        <f t="shared" si="34"/>
        <v>2.9535148996200231</v>
      </c>
      <c r="U93" s="86">
        <f t="shared" si="35"/>
        <v>2.710333145115754</v>
      </c>
    </row>
    <row r="94" spans="1:21">
      <c r="A94" s="87" t="s">
        <v>156</v>
      </c>
      <c r="B94" s="88">
        <f t="shared" ref="B94:K94" si="40">B93-$T$93</f>
        <v>13.841769552577377</v>
      </c>
      <c r="C94" s="83">
        <f t="shared" si="40"/>
        <v>-1.3067348815640496</v>
      </c>
      <c r="D94" s="88">
        <f t="shared" si="40"/>
        <v>-0.7156563581012918</v>
      </c>
      <c r="E94" s="88">
        <f t="shared" si="40"/>
        <v>5.2727145213752156</v>
      </c>
      <c r="F94" s="88">
        <f t="shared" si="40"/>
        <v>2.7753099453162502</v>
      </c>
      <c r="G94" s="88">
        <f t="shared" si="40"/>
        <v>-0.58498628926579954</v>
      </c>
      <c r="H94" s="88">
        <f t="shared" si="40"/>
        <v>0.52270610515908889</v>
      </c>
      <c r="I94" s="88">
        <f t="shared" si="40"/>
        <v>-4.9100113663334E-2</v>
      </c>
      <c r="J94" s="88">
        <f t="shared" si="40"/>
        <v>-0.24318175450426915</v>
      </c>
      <c r="K94" s="83">
        <f t="shared" si="40"/>
        <v>-0.43573028423540761</v>
      </c>
      <c r="N94" s="88">
        <f>N93-$T$93</f>
        <v>0.20600890990378629</v>
      </c>
      <c r="O94" s="88">
        <f>O93-$T$93</f>
        <v>-2.9535148996200231</v>
      </c>
      <c r="P94" s="88">
        <f>P93-$T$93</f>
        <v>-2.9535148996200231</v>
      </c>
      <c r="Q94" s="88">
        <f>Q93-$T$93</f>
        <v>-1.5327538032960177</v>
      </c>
      <c r="R94" s="89"/>
      <c r="S94" s="88">
        <f>S93-$T$93</f>
        <v>5.2487570838257476</v>
      </c>
      <c r="T94" s="120">
        <f t="shared" si="34"/>
        <v>0</v>
      </c>
      <c r="U94" s="86">
        <f t="shared" si="35"/>
        <v>-0.24318175450426915</v>
      </c>
    </row>
    <row r="95" spans="1:21" ht="15">
      <c r="A95" s="134"/>
      <c r="B95" s="104"/>
      <c r="C95" s="106"/>
      <c r="D95" s="91"/>
      <c r="E95" s="104"/>
      <c r="F95" s="104"/>
      <c r="G95" s="104"/>
      <c r="H95" s="104"/>
      <c r="I95" s="104"/>
      <c r="J95" s="104"/>
      <c r="K95" s="106"/>
      <c r="N95" s="104"/>
      <c r="O95" s="104"/>
      <c r="P95" s="62"/>
      <c r="Q95" s="104"/>
      <c r="R95" s="93"/>
      <c r="S95" s="104"/>
      <c r="T95" s="94" t="s">
        <v>147</v>
      </c>
      <c r="U95" s="95" t="s">
        <v>147</v>
      </c>
    </row>
    <row r="96" spans="1:21" ht="15">
      <c r="A96" s="59" t="s">
        <v>203</v>
      </c>
      <c r="B96" s="90"/>
      <c r="C96" s="92"/>
      <c r="D96" s="91"/>
      <c r="E96" s="90"/>
      <c r="F96" s="90"/>
      <c r="G96" s="90"/>
      <c r="H96" s="90"/>
      <c r="I96" s="90"/>
      <c r="J96" s="90"/>
      <c r="K96" s="92"/>
      <c r="N96" s="90"/>
      <c r="O96" s="90"/>
      <c r="P96" s="62"/>
      <c r="Q96" s="90"/>
      <c r="R96" s="93"/>
      <c r="S96" s="90"/>
      <c r="T96" s="94" t="s">
        <v>147</v>
      </c>
      <c r="U96" s="95" t="s">
        <v>147</v>
      </c>
    </row>
    <row r="97" spans="1:21" ht="15">
      <c r="A97" s="43" t="s">
        <v>204</v>
      </c>
      <c r="B97" s="115"/>
      <c r="C97" s="117"/>
      <c r="D97" s="115"/>
      <c r="E97" s="115"/>
      <c r="F97" s="115">
        <v>236457</v>
      </c>
      <c r="G97" s="115"/>
      <c r="H97" s="115"/>
      <c r="I97" s="115"/>
      <c r="J97" s="115"/>
      <c r="K97" s="117">
        <v>0</v>
      </c>
      <c r="N97" s="115"/>
      <c r="O97" s="115">
        <v>20000</v>
      </c>
      <c r="P97" s="70"/>
      <c r="Q97" s="115"/>
      <c r="R97" s="123"/>
      <c r="S97" s="115"/>
      <c r="T97" s="73">
        <f t="shared" ref="T97:T106" si="41">AVERAGE(F97:S97)</f>
        <v>85485.666666666672</v>
      </c>
      <c r="U97" s="74">
        <f t="shared" ref="U97:U106" si="42">MEDIAN(F97:S97)</f>
        <v>20000</v>
      </c>
    </row>
    <row r="98" spans="1:21" ht="15">
      <c r="A98" s="43" t="s">
        <v>205</v>
      </c>
      <c r="B98" s="130">
        <v>300325</v>
      </c>
      <c r="C98" s="135">
        <v>592583</v>
      </c>
      <c r="D98" s="75">
        <v>177000</v>
      </c>
      <c r="E98" s="130">
        <v>179591</v>
      </c>
      <c r="F98" s="130">
        <v>678817</v>
      </c>
      <c r="G98" s="130">
        <v>345052</v>
      </c>
      <c r="H98" s="130"/>
      <c r="I98" s="115">
        <v>320224</v>
      </c>
      <c r="J98" s="130">
        <v>189000</v>
      </c>
      <c r="K98" s="75">
        <v>305838</v>
      </c>
      <c r="N98" s="130">
        <v>150000</v>
      </c>
      <c r="O98" s="75">
        <v>25000</v>
      </c>
      <c r="P98" s="70">
        <v>199071</v>
      </c>
      <c r="Q98" s="130">
        <v>220927</v>
      </c>
      <c r="R98" s="77">
        <v>332439</v>
      </c>
      <c r="S98" s="130">
        <v>480683</v>
      </c>
      <c r="T98" s="73">
        <f t="shared" si="41"/>
        <v>295186.45454545453</v>
      </c>
      <c r="U98" s="74">
        <f t="shared" si="42"/>
        <v>305838</v>
      </c>
    </row>
    <row r="99" spans="1:21" ht="15">
      <c r="A99" s="43" t="s">
        <v>206</v>
      </c>
      <c r="B99" s="115"/>
      <c r="C99" s="117"/>
      <c r="D99" s="115"/>
      <c r="E99" s="115"/>
      <c r="F99" s="115"/>
      <c r="G99" s="115"/>
      <c r="H99" s="115"/>
      <c r="I99" s="115"/>
      <c r="J99" s="115"/>
      <c r="K99" s="117">
        <v>0</v>
      </c>
      <c r="N99" s="115">
        <v>8750</v>
      </c>
      <c r="O99" s="75">
        <v>0</v>
      </c>
      <c r="P99" s="70"/>
      <c r="Q99" s="115"/>
      <c r="R99" s="123"/>
      <c r="S99" s="115"/>
      <c r="T99" s="73">
        <f t="shared" si="41"/>
        <v>2916.6666666666665</v>
      </c>
      <c r="U99" s="74">
        <f t="shared" si="42"/>
        <v>0</v>
      </c>
    </row>
    <row r="100" spans="1:21" ht="15">
      <c r="A100" s="111" t="s">
        <v>207</v>
      </c>
      <c r="B100" s="115">
        <v>500000</v>
      </c>
      <c r="C100" s="98">
        <v>500000</v>
      </c>
      <c r="D100" s="115"/>
      <c r="E100" s="115"/>
      <c r="F100" s="115"/>
      <c r="G100" s="115"/>
      <c r="H100" s="115">
        <v>115046</v>
      </c>
      <c r="I100" s="115"/>
      <c r="J100" s="115">
        <v>100000</v>
      </c>
      <c r="K100" s="98">
        <v>0</v>
      </c>
      <c r="N100" s="115"/>
      <c r="O100" s="75">
        <v>0</v>
      </c>
      <c r="P100" s="70"/>
      <c r="Q100" s="115"/>
      <c r="R100" s="123"/>
      <c r="S100" s="115">
        <v>500000</v>
      </c>
      <c r="T100" s="73">
        <f t="shared" si="41"/>
        <v>143009.20000000001</v>
      </c>
      <c r="U100" s="74">
        <f t="shared" si="42"/>
        <v>100000</v>
      </c>
    </row>
    <row r="101" spans="1:21" ht="15">
      <c r="A101" s="136" t="s">
        <v>207</v>
      </c>
      <c r="B101" s="115"/>
      <c r="C101" s="117">
        <v>50000</v>
      </c>
      <c r="D101" s="115"/>
      <c r="E101" s="115"/>
      <c r="F101" s="115"/>
      <c r="G101" s="115"/>
      <c r="H101" s="115"/>
      <c r="I101" s="115"/>
      <c r="J101" s="115"/>
      <c r="K101" s="117">
        <v>0</v>
      </c>
      <c r="N101" s="115"/>
      <c r="O101" s="115">
        <v>0</v>
      </c>
      <c r="P101" s="70"/>
      <c r="Q101" s="115"/>
      <c r="R101" s="123"/>
      <c r="S101" s="115"/>
      <c r="T101" s="73">
        <f t="shared" si="41"/>
        <v>0</v>
      </c>
      <c r="U101" s="74">
        <f t="shared" si="42"/>
        <v>0</v>
      </c>
    </row>
    <row r="102" spans="1:21">
      <c r="A102" s="113" t="s">
        <v>208</v>
      </c>
      <c r="B102" s="81">
        <f t="shared" ref="B102:K102" si="43">SUM(B97:B101)</f>
        <v>800325</v>
      </c>
      <c r="C102" s="127">
        <f t="shared" si="43"/>
        <v>1142583</v>
      </c>
      <c r="D102" s="81">
        <f t="shared" si="43"/>
        <v>177000</v>
      </c>
      <c r="E102" s="81">
        <f t="shared" si="43"/>
        <v>179591</v>
      </c>
      <c r="F102" s="81">
        <f t="shared" si="43"/>
        <v>915274</v>
      </c>
      <c r="G102" s="81">
        <f t="shared" si="43"/>
        <v>345052</v>
      </c>
      <c r="H102" s="81">
        <f t="shared" si="43"/>
        <v>115046</v>
      </c>
      <c r="I102" s="81">
        <f t="shared" si="43"/>
        <v>320224</v>
      </c>
      <c r="J102" s="81">
        <f t="shared" si="43"/>
        <v>289000</v>
      </c>
      <c r="K102" s="127">
        <f t="shared" si="43"/>
        <v>305838</v>
      </c>
      <c r="N102" s="81">
        <f>SUM(N97:N101)</f>
        <v>158750</v>
      </c>
      <c r="O102" s="81">
        <f>SUM(O97:O101)</f>
        <v>45000</v>
      </c>
      <c r="P102" s="82">
        <v>199071</v>
      </c>
      <c r="Q102" s="81">
        <f>SUM(Q97:Q101)</f>
        <v>220927</v>
      </c>
      <c r="R102" s="84">
        <v>332439</v>
      </c>
      <c r="S102" s="81">
        <f>SUM(S97:S101)</f>
        <v>980683</v>
      </c>
      <c r="T102" s="120">
        <f t="shared" si="41"/>
        <v>352275.33333333331</v>
      </c>
      <c r="U102" s="86">
        <f t="shared" si="42"/>
        <v>297419</v>
      </c>
    </row>
    <row r="103" spans="1:21">
      <c r="A103" s="87" t="s">
        <v>153</v>
      </c>
      <c r="B103" s="88">
        <f t="shared" ref="B103:G103" si="44">B102/B5</f>
        <v>21630.405405405407</v>
      </c>
      <c r="C103" s="127">
        <f t="shared" si="44"/>
        <v>19365.813559322032</v>
      </c>
      <c r="D103" s="88">
        <f t="shared" si="44"/>
        <v>4022.7272727272725</v>
      </c>
      <c r="E103" s="88">
        <f t="shared" si="44"/>
        <v>3521.3921568627452</v>
      </c>
      <c r="F103" s="88">
        <f t="shared" si="44"/>
        <v>5084.8555555555558</v>
      </c>
      <c r="G103" s="88">
        <f t="shared" si="44"/>
        <v>4367.7468354430375</v>
      </c>
      <c r="H103" s="88">
        <f>H102/H5</f>
        <v>3595.1875</v>
      </c>
      <c r="I103" s="88">
        <f>I102/I5</f>
        <v>5427.5254237288136</v>
      </c>
      <c r="J103" s="88">
        <f>J102/J5</f>
        <v>4982.7586206896549</v>
      </c>
      <c r="K103" s="83">
        <f>K102/K5</f>
        <v>5097.3</v>
      </c>
      <c r="N103" s="88">
        <f>N102/N5</f>
        <v>4535.7142857142853</v>
      </c>
      <c r="O103" s="88">
        <f>O102/O5</f>
        <v>2368.4210526315787</v>
      </c>
      <c r="P103" s="88">
        <f>P102/P5</f>
        <v>4423.8</v>
      </c>
      <c r="Q103" s="88">
        <f>Q102/Q5</f>
        <v>3875.9122807017543</v>
      </c>
      <c r="R103" s="89"/>
      <c r="S103" s="88">
        <f>S102/S5</f>
        <v>11403.290697674418</v>
      </c>
      <c r="T103" s="120">
        <f t="shared" si="41"/>
        <v>5014.7738411035543</v>
      </c>
      <c r="U103" s="86">
        <f t="shared" si="42"/>
        <v>4535.7142857142853</v>
      </c>
    </row>
    <row r="104" spans="1:21">
      <c r="A104" s="87" t="s">
        <v>154</v>
      </c>
      <c r="B104" s="88">
        <f t="shared" ref="B104:K104" si="45">B103-$T$103</f>
        <v>16615.631564301853</v>
      </c>
      <c r="C104" s="127">
        <f t="shared" si="45"/>
        <v>14351.039718218479</v>
      </c>
      <c r="D104" s="88">
        <f t="shared" si="45"/>
        <v>-992.04656837628181</v>
      </c>
      <c r="E104" s="88">
        <f t="shared" si="45"/>
        <v>-1493.3816842408091</v>
      </c>
      <c r="F104" s="88">
        <f t="shared" si="45"/>
        <v>70.081714452001506</v>
      </c>
      <c r="G104" s="88">
        <f t="shared" si="45"/>
        <v>-647.02700566051681</v>
      </c>
      <c r="H104" s="88">
        <f t="shared" si="45"/>
        <v>-1419.5863411035543</v>
      </c>
      <c r="I104" s="88">
        <f t="shared" si="45"/>
        <v>412.75158262525929</v>
      </c>
      <c r="J104" s="88">
        <f t="shared" si="45"/>
        <v>-32.015220413899442</v>
      </c>
      <c r="K104" s="83">
        <f t="shared" si="45"/>
        <v>82.52615889644585</v>
      </c>
      <c r="N104" s="88">
        <f>N103-$T$103</f>
        <v>-479.05955538926901</v>
      </c>
      <c r="O104" s="88">
        <f>O103-$T$103</f>
        <v>-2646.3527884719756</v>
      </c>
      <c r="P104" s="88">
        <f>P103-$T$103</f>
        <v>-590.97384110355415</v>
      </c>
      <c r="Q104" s="88">
        <f>Q103-$T$103</f>
        <v>-1138.8615604018</v>
      </c>
      <c r="R104" s="89"/>
      <c r="S104" s="88">
        <f>S103-$T$103</f>
        <v>6388.5168565708636</v>
      </c>
      <c r="T104" s="120">
        <f t="shared" si="41"/>
        <v>0</v>
      </c>
      <c r="U104" s="86">
        <f t="shared" si="42"/>
        <v>-479.05955538926901</v>
      </c>
    </row>
    <row r="105" spans="1:21">
      <c r="A105" s="87" t="s">
        <v>155</v>
      </c>
      <c r="B105" s="88">
        <f t="shared" ref="B105:G105" si="46">B102/B4</f>
        <v>22.517725507849867</v>
      </c>
      <c r="C105" s="127">
        <f t="shared" si="46"/>
        <v>14.326700270839602</v>
      </c>
      <c r="D105" s="88">
        <f t="shared" si="46"/>
        <v>3.8086630947001483</v>
      </c>
      <c r="E105" s="88">
        <f t="shared" si="46"/>
        <v>4.7764834171121571</v>
      </c>
      <c r="F105" s="88">
        <f t="shared" si="46"/>
        <v>6.6243079127734878</v>
      </c>
      <c r="G105" s="88">
        <f t="shared" si="46"/>
        <v>4.1973043985986767</v>
      </c>
      <c r="H105" s="88">
        <f>H102/H4</f>
        <v>2.2350312779267201</v>
      </c>
      <c r="I105" s="88">
        <f>I102/I4</f>
        <v>4.8732175739221741</v>
      </c>
      <c r="J105" s="88">
        <f>J102/J4</f>
        <v>6.5273856578204406</v>
      </c>
      <c r="K105" s="83">
        <f>K102/K4</f>
        <v>4.7051999999999996</v>
      </c>
      <c r="N105" s="88">
        <f>N102/N4</f>
        <v>7.5595238095238093</v>
      </c>
      <c r="O105" s="81">
        <f>O102/C4</f>
        <v>0.56424917243454709</v>
      </c>
      <c r="P105" s="88">
        <f>P102/P4</f>
        <v>4.298846851515937</v>
      </c>
      <c r="Q105" s="88">
        <f>Q102/Q4</f>
        <v>3.9732213509819436</v>
      </c>
      <c r="R105" s="89"/>
      <c r="S105" s="88">
        <f>S102/S4</f>
        <v>10.353603817607871</v>
      </c>
      <c r="T105" s="120">
        <f t="shared" si="41"/>
        <v>5.0828992566459643</v>
      </c>
      <c r="U105" s="86">
        <f t="shared" si="42"/>
        <v>4.7051999999999996</v>
      </c>
    </row>
    <row r="106" spans="1:21">
      <c r="A106" s="87" t="s">
        <v>156</v>
      </c>
      <c r="B106" s="88">
        <f t="shared" ref="B106:K106" si="47">B105-$T$105</f>
        <v>17.434826251203901</v>
      </c>
      <c r="C106" s="127">
        <f t="shared" si="47"/>
        <v>9.2438010141936378</v>
      </c>
      <c r="D106" s="88">
        <f t="shared" si="47"/>
        <v>-1.274236161945816</v>
      </c>
      <c r="E106" s="88">
        <f t="shared" si="47"/>
        <v>-0.30641583953380724</v>
      </c>
      <c r="F106" s="88">
        <f t="shared" si="47"/>
        <v>1.5414086561275235</v>
      </c>
      <c r="G106" s="88">
        <f t="shared" si="47"/>
        <v>-0.88559485804728766</v>
      </c>
      <c r="H106" s="88">
        <f t="shared" si="47"/>
        <v>-2.8478679787192442</v>
      </c>
      <c r="I106" s="88">
        <f t="shared" si="47"/>
        <v>-0.20968168272379017</v>
      </c>
      <c r="J106" s="88">
        <f t="shared" si="47"/>
        <v>1.4444864011744762</v>
      </c>
      <c r="K106" s="83">
        <f t="shared" si="47"/>
        <v>-0.37769925664596471</v>
      </c>
      <c r="N106" s="88">
        <f>N105-$T$105</f>
        <v>2.476624552877845</v>
      </c>
      <c r="O106" s="81">
        <f>O105-$T$105</f>
        <v>-4.5186500842114175</v>
      </c>
      <c r="P106" s="88">
        <f>P105-$T$105</f>
        <v>-0.78405240513002727</v>
      </c>
      <c r="Q106" s="88">
        <f>Q105-$T$105</f>
        <v>-1.1096779056640207</v>
      </c>
      <c r="R106" s="89"/>
      <c r="S106" s="88">
        <f>S105-$T$105</f>
        <v>5.2707045609619065</v>
      </c>
      <c r="T106" s="120">
        <f t="shared" si="41"/>
        <v>0</v>
      </c>
      <c r="U106" s="86">
        <f t="shared" si="42"/>
        <v>-0.37769925664596471</v>
      </c>
    </row>
    <row r="107" spans="1:21" ht="15">
      <c r="A107" s="113"/>
      <c r="B107" s="90"/>
      <c r="C107" s="92"/>
      <c r="D107" s="91"/>
      <c r="E107" s="90"/>
      <c r="F107" s="90"/>
      <c r="G107" s="90"/>
      <c r="H107" s="90"/>
      <c r="I107" s="90"/>
      <c r="J107" s="90"/>
      <c r="K107" s="92"/>
      <c r="N107" s="90"/>
      <c r="O107" s="90"/>
      <c r="P107" s="62"/>
      <c r="Q107" s="90"/>
      <c r="R107" s="93"/>
      <c r="S107" s="90"/>
      <c r="T107" s="94" t="s">
        <v>147</v>
      </c>
      <c r="U107" s="95" t="s">
        <v>147</v>
      </c>
    </row>
    <row r="108" spans="1:21" ht="15">
      <c r="A108" s="122" t="s">
        <v>209</v>
      </c>
      <c r="B108" s="137">
        <v>2764973</v>
      </c>
      <c r="C108" s="135">
        <v>3500000</v>
      </c>
      <c r="D108" s="138">
        <v>1500000</v>
      </c>
      <c r="E108" s="137">
        <v>2500000</v>
      </c>
      <c r="F108" s="137">
        <v>5000000</v>
      </c>
      <c r="G108" s="137">
        <v>2154056</v>
      </c>
      <c r="H108" s="137">
        <v>1400000</v>
      </c>
      <c r="I108" s="137">
        <v>3500000</v>
      </c>
      <c r="J108" s="137">
        <v>1620199</v>
      </c>
      <c r="K108" s="140">
        <v>3721965</v>
      </c>
      <c r="N108" s="137">
        <v>2325965</v>
      </c>
      <c r="O108" s="137">
        <v>320000</v>
      </c>
      <c r="P108" s="139">
        <v>1626903</v>
      </c>
      <c r="Q108" s="137">
        <v>2100000</v>
      </c>
      <c r="R108" s="141">
        <v>3950000</v>
      </c>
      <c r="S108" s="137">
        <v>3500000</v>
      </c>
      <c r="T108" s="142">
        <f>AVERAGE(F108:S108)</f>
        <v>2601590.6666666665</v>
      </c>
      <c r="U108" s="143">
        <f>MEDIAN(F108:S108)</f>
        <v>2240010.5</v>
      </c>
    </row>
    <row r="109" spans="1:21" ht="15">
      <c r="A109" s="122"/>
      <c r="B109" s="90"/>
      <c r="C109" s="106"/>
      <c r="D109" s="91"/>
      <c r="E109" s="90"/>
      <c r="F109" s="90"/>
      <c r="G109" s="90"/>
      <c r="H109" s="90"/>
      <c r="I109" s="104"/>
      <c r="J109" s="90"/>
      <c r="K109" s="144"/>
      <c r="N109" s="90"/>
      <c r="O109" s="104"/>
      <c r="P109" s="62"/>
      <c r="Q109" s="90"/>
      <c r="R109" s="93"/>
      <c r="S109" s="90"/>
      <c r="T109" s="94" t="s">
        <v>147</v>
      </c>
      <c r="U109" s="95" t="s">
        <v>147</v>
      </c>
    </row>
    <row r="110" spans="1:21" ht="15">
      <c r="A110" s="145" t="s">
        <v>210</v>
      </c>
      <c r="B110" s="140">
        <v>50000</v>
      </c>
      <c r="C110" s="146">
        <v>59000</v>
      </c>
      <c r="D110" s="138">
        <v>242000</v>
      </c>
      <c r="E110" s="140">
        <v>40000</v>
      </c>
      <c r="F110" s="140">
        <v>210000</v>
      </c>
      <c r="G110" s="140">
        <v>25000</v>
      </c>
      <c r="H110" s="140">
        <v>16000</v>
      </c>
      <c r="I110" s="137">
        <v>150000</v>
      </c>
      <c r="J110" s="140">
        <v>319000</v>
      </c>
      <c r="K110" s="140">
        <v>160000</v>
      </c>
      <c r="N110" s="140">
        <v>50000</v>
      </c>
      <c r="O110" s="140">
        <v>0</v>
      </c>
      <c r="P110" s="139">
        <v>200000</v>
      </c>
      <c r="Q110" s="140">
        <v>200000</v>
      </c>
      <c r="R110" s="141">
        <v>175000</v>
      </c>
      <c r="S110" s="140">
        <v>75000</v>
      </c>
      <c r="T110" s="142">
        <f>AVERAGE(F110:S110)</f>
        <v>131666.66666666666</v>
      </c>
      <c r="U110" s="143">
        <f>MEDIAN(F110:S110)</f>
        <v>155000</v>
      </c>
    </row>
    <row r="111" spans="1:21" ht="15">
      <c r="A111" s="59"/>
      <c r="B111" s="147"/>
      <c r="C111" s="149"/>
      <c r="D111" s="148"/>
      <c r="E111" s="147"/>
      <c r="F111" s="147"/>
      <c r="G111" s="147"/>
      <c r="H111" s="147"/>
      <c r="I111" s="147"/>
      <c r="J111" s="147"/>
      <c r="K111" s="149"/>
      <c r="N111" s="147"/>
      <c r="O111" s="147"/>
      <c r="P111" s="62"/>
      <c r="Q111" s="147"/>
      <c r="R111" s="150"/>
      <c r="S111" s="147"/>
      <c r="T111" s="94" t="s">
        <v>147</v>
      </c>
      <c r="U111" s="95"/>
    </row>
    <row r="112" spans="1:21" ht="15.75">
      <c r="A112" s="151" t="s">
        <v>211</v>
      </c>
      <c r="B112" s="153">
        <f t="shared" ref="B112:G112" si="48">(B110+B108+B102+B90+B77+B59+B32+B20+B14)</f>
        <v>24228349</v>
      </c>
      <c r="C112" s="154">
        <f t="shared" si="48"/>
        <v>39690434</v>
      </c>
      <c r="D112" s="153">
        <f t="shared" si="48"/>
        <v>25999595</v>
      </c>
      <c r="E112" s="153">
        <f t="shared" si="48"/>
        <v>29101337</v>
      </c>
      <c r="F112" s="153">
        <f t="shared" si="48"/>
        <v>84541754</v>
      </c>
      <c r="G112" s="153">
        <f t="shared" si="48"/>
        <v>46486169</v>
      </c>
      <c r="H112" s="153">
        <f>(H110+H108+H102+H90+H77+H59+H32+H20+H14)</f>
        <v>25054207</v>
      </c>
      <c r="I112" s="152">
        <f>(I110+I108+I102+I90+I77+I59+I32+I20+I14)</f>
        <v>39201152</v>
      </c>
      <c r="J112" s="153">
        <f>(J110+J108+J102+J90+J77+J59+J32+J20+J14)</f>
        <v>29717968</v>
      </c>
      <c r="K112" s="154">
        <f>(K110+K108+K102+K90+K77+K59+K32+K20+K14)</f>
        <v>33282401</v>
      </c>
      <c r="N112" s="153">
        <f>(N110+N108+N102+N90+N77+N59+N32+N20+N14)</f>
        <v>22169143</v>
      </c>
      <c r="O112" s="152">
        <f>(O110+O108+O102+O90+O77+O59+O32+O20+O14)</f>
        <v>8741500</v>
      </c>
      <c r="P112" s="153">
        <f>(P110+P108+P102+P90+P77+P59+P32+P20+P14)</f>
        <v>25371171</v>
      </c>
      <c r="Q112" s="153">
        <f>(Q110+Q108+Q102+Q90+Q77+Q59+Q32+Q20+Q14)</f>
        <v>24632350</v>
      </c>
      <c r="R112" s="155">
        <v>45220865</v>
      </c>
      <c r="S112" s="153">
        <f>(S110+S108+S102+S90+S77+S59+S32+S20+S14)</f>
        <v>52794795</v>
      </c>
      <c r="T112" s="156">
        <f t="shared" ref="T112:T117" si="49">AVERAGE(F112:S112)</f>
        <v>36434456.25</v>
      </c>
      <c r="U112" s="157">
        <f>MEDIAN(F112:S112)</f>
        <v>31500184.5</v>
      </c>
    </row>
    <row r="113" spans="1:21" ht="15.75">
      <c r="A113" s="158" t="s">
        <v>212</v>
      </c>
      <c r="B113" s="160">
        <f t="shared" ref="B113:G113" si="50">B112/B5</f>
        <v>654820.2432432432</v>
      </c>
      <c r="C113" s="161">
        <f t="shared" si="50"/>
        <v>672719.220338983</v>
      </c>
      <c r="D113" s="160">
        <f t="shared" si="50"/>
        <v>590899.88636363635</v>
      </c>
      <c r="E113" s="160">
        <f t="shared" si="50"/>
        <v>570614.45098039217</v>
      </c>
      <c r="F113" s="160">
        <f t="shared" si="50"/>
        <v>469676.41111111111</v>
      </c>
      <c r="G113" s="160">
        <f t="shared" si="50"/>
        <v>588432.51898734178</v>
      </c>
      <c r="H113" s="160">
        <f>H112/H5</f>
        <v>782943.96875</v>
      </c>
      <c r="I113" s="159">
        <f>I112/I5</f>
        <v>664426.30508474575</v>
      </c>
      <c r="J113" s="160">
        <f>J112/J5</f>
        <v>512378.75862068968</v>
      </c>
      <c r="K113" s="161">
        <f>K112/K5</f>
        <v>554706.68333333335</v>
      </c>
      <c r="N113" s="160">
        <f>N112/N5</f>
        <v>633404.08571428573</v>
      </c>
      <c r="O113" s="159">
        <f>O112/O5</f>
        <v>460078.94736842107</v>
      </c>
      <c r="P113" s="160">
        <f>P112/P5</f>
        <v>563803.80000000005</v>
      </c>
      <c r="Q113" s="160">
        <f>Q112/Q5</f>
        <v>432146.49122807017</v>
      </c>
      <c r="R113" s="155">
        <v>646012</v>
      </c>
      <c r="S113" s="160">
        <f>S112/S5</f>
        <v>613892.96511627908</v>
      </c>
      <c r="T113" s="156">
        <f t="shared" si="49"/>
        <v>576825.24460952298</v>
      </c>
      <c r="U113" s="157">
        <f>MEDIAN(F113:S113)</f>
        <v>576118.15949367092</v>
      </c>
    </row>
    <row r="114" spans="1:21" ht="15.75">
      <c r="A114" s="158" t="s">
        <v>213</v>
      </c>
      <c r="B114" s="163">
        <f t="shared" ref="B114:K114" si="51">B113-$T$113</f>
        <v>77994.998633720214</v>
      </c>
      <c r="C114" s="164">
        <f t="shared" si="51"/>
        <v>95893.975729460013</v>
      </c>
      <c r="D114" s="163">
        <f t="shared" si="51"/>
        <v>14074.641754113371</v>
      </c>
      <c r="E114" s="163">
        <f t="shared" si="51"/>
        <v>-6210.7936291308142</v>
      </c>
      <c r="F114" s="163">
        <f t="shared" si="51"/>
        <v>-107148.83349841187</v>
      </c>
      <c r="G114" s="163">
        <f t="shared" si="51"/>
        <v>11607.274377818801</v>
      </c>
      <c r="H114" s="163">
        <f t="shared" si="51"/>
        <v>206118.72414047702</v>
      </c>
      <c r="I114" s="162">
        <f t="shared" si="51"/>
        <v>87601.060475222766</v>
      </c>
      <c r="J114" s="163">
        <f t="shared" si="51"/>
        <v>-64446.485988833301</v>
      </c>
      <c r="K114" s="164">
        <f t="shared" si="51"/>
        <v>-22118.561276189634</v>
      </c>
      <c r="N114" s="163">
        <f t="shared" ref="N114:S114" si="52">N113-$T$113</f>
        <v>56578.841104762745</v>
      </c>
      <c r="O114" s="162">
        <f t="shared" si="52"/>
        <v>-116746.29724110191</v>
      </c>
      <c r="P114" s="163">
        <f t="shared" si="52"/>
        <v>-13021.444609522936</v>
      </c>
      <c r="Q114" s="163">
        <f t="shared" si="52"/>
        <v>-144678.75338145281</v>
      </c>
      <c r="R114" s="164">
        <f t="shared" si="52"/>
        <v>69186.755390477017</v>
      </c>
      <c r="S114" s="163">
        <f t="shared" si="52"/>
        <v>37067.720506756101</v>
      </c>
      <c r="T114" s="156">
        <f t="shared" si="49"/>
        <v>1.64921705921491E-10</v>
      </c>
      <c r="U114" s="157"/>
    </row>
    <row r="115" spans="1:21" ht="15.75">
      <c r="A115" s="158" t="s">
        <v>214</v>
      </c>
      <c r="B115" s="160">
        <f t="shared" ref="B115:G115" si="53">B112/B6</f>
        <v>538407.75555555557</v>
      </c>
      <c r="C115" s="161">
        <f t="shared" si="53"/>
        <v>312523.10236220475</v>
      </c>
      <c r="D115" s="160">
        <f t="shared" si="53"/>
        <v>577768.77777777775</v>
      </c>
      <c r="E115" s="160">
        <f t="shared" si="53"/>
        <v>24898.474503764544</v>
      </c>
      <c r="F115" s="160">
        <f t="shared" si="53"/>
        <v>300860.33451957296</v>
      </c>
      <c r="G115" s="160">
        <f t="shared" si="53"/>
        <v>426478.61467889906</v>
      </c>
      <c r="H115" s="160">
        <f>H112/H6</f>
        <v>431969.08620689658</v>
      </c>
      <c r="I115" s="159">
        <f>I112/I6</f>
        <v>376934.15384615387</v>
      </c>
      <c r="J115" s="160">
        <f>J112/J6</f>
        <v>503694.37288135593</v>
      </c>
      <c r="K115" s="161">
        <f>K112/K6</f>
        <v>313984.91509433964</v>
      </c>
      <c r="N115" s="160">
        <f t="shared" ref="N115:S115" si="54">N112/N6</f>
        <v>633404.08571428573</v>
      </c>
      <c r="O115" s="159">
        <f t="shared" si="54"/>
        <v>218537.5</v>
      </c>
      <c r="P115" s="160">
        <f t="shared" si="54"/>
        <v>313224.33333333331</v>
      </c>
      <c r="Q115" s="160">
        <f t="shared" si="54"/>
        <v>410539.16666666669</v>
      </c>
      <c r="R115" s="161">
        <f t="shared" si="54"/>
        <v>636913.59154929582</v>
      </c>
      <c r="S115" s="160">
        <f t="shared" si="54"/>
        <v>310557.6176470588</v>
      </c>
      <c r="T115" s="156">
        <f t="shared" si="49"/>
        <v>406424.8143448215</v>
      </c>
      <c r="U115" s="157">
        <f>MEDIAN(F115:S115)</f>
        <v>393736.66025641025</v>
      </c>
    </row>
    <row r="116" spans="1:21" ht="15.75">
      <c r="A116" s="158" t="s">
        <v>213</v>
      </c>
      <c r="B116" s="163">
        <f t="shared" ref="B116:K116" si="55">B115-$T$115</f>
        <v>131982.94121073408</v>
      </c>
      <c r="C116" s="164">
        <f t="shared" si="55"/>
        <v>-93901.711982616747</v>
      </c>
      <c r="D116" s="163">
        <f t="shared" si="55"/>
        <v>171343.96343295625</v>
      </c>
      <c r="E116" s="163">
        <f t="shared" si="55"/>
        <v>-381526.33984105696</v>
      </c>
      <c r="F116" s="163">
        <f t="shared" si="55"/>
        <v>-105564.47982524853</v>
      </c>
      <c r="G116" s="163">
        <f t="shared" si="55"/>
        <v>20053.800334077561</v>
      </c>
      <c r="H116" s="163">
        <f t="shared" si="55"/>
        <v>25544.271862075082</v>
      </c>
      <c r="I116" s="162">
        <f t="shared" si="55"/>
        <v>-29490.660498667625</v>
      </c>
      <c r="J116" s="163">
        <f t="shared" si="55"/>
        <v>97269.55853653443</v>
      </c>
      <c r="K116" s="164">
        <f t="shared" si="55"/>
        <v>-92439.89925048186</v>
      </c>
      <c r="N116" s="163">
        <f t="shared" ref="N116:S116" si="56">N115-$T$115</f>
        <v>226979.27136946423</v>
      </c>
      <c r="O116" s="162">
        <f t="shared" si="56"/>
        <v>-187887.3143448215</v>
      </c>
      <c r="P116" s="163">
        <f t="shared" si="56"/>
        <v>-93200.481011488184</v>
      </c>
      <c r="Q116" s="163">
        <f t="shared" si="56"/>
        <v>4114.3523218451883</v>
      </c>
      <c r="R116" s="164">
        <f t="shared" si="56"/>
        <v>230488.77720447432</v>
      </c>
      <c r="S116" s="163">
        <f t="shared" si="56"/>
        <v>-95867.196697762702</v>
      </c>
      <c r="T116" s="156">
        <f t="shared" si="49"/>
        <v>3.3954468866189323E-11</v>
      </c>
      <c r="U116" s="157"/>
    </row>
    <row r="117" spans="1:21" ht="15.75">
      <c r="A117" s="165" t="s">
        <v>215</v>
      </c>
      <c r="B117" s="167">
        <f t="shared" ref="B117:G117" si="57">B112/B4</f>
        <v>681.68220696640594</v>
      </c>
      <c r="C117" s="168">
        <f t="shared" si="57"/>
        <v>497.67321195706688</v>
      </c>
      <c r="D117" s="167">
        <f t="shared" si="57"/>
        <v>559.45592064209325</v>
      </c>
      <c r="E117" s="167">
        <f t="shared" si="57"/>
        <v>773.99231362536239</v>
      </c>
      <c r="F117" s="167">
        <f t="shared" si="57"/>
        <v>611.87208418675675</v>
      </c>
      <c r="G117" s="167">
        <f t="shared" si="57"/>
        <v>565.47013672635262</v>
      </c>
      <c r="H117" s="167">
        <f>H112/H4</f>
        <v>486.73518669619614</v>
      </c>
      <c r="I117" s="166">
        <f>I112/I4</f>
        <v>596.56909802011842</v>
      </c>
      <c r="J117" s="167">
        <f>J112/J4</f>
        <v>671.21328063241106</v>
      </c>
      <c r="K117" s="168">
        <f>K112/K4</f>
        <v>512.03693846153851</v>
      </c>
      <c r="N117" s="167">
        <f>N112/N4</f>
        <v>1055.6734761904761</v>
      </c>
      <c r="O117" s="166">
        <f>O112/C4</f>
        <v>109.60853646303541</v>
      </c>
      <c r="P117" s="167">
        <f>P112/P4</f>
        <v>547.87878984192798</v>
      </c>
      <c r="Q117" s="167">
        <f>Q112/Q4</f>
        <v>442.99600748147617</v>
      </c>
      <c r="R117" s="155">
        <v>659</v>
      </c>
      <c r="S117" s="167">
        <f>S112/S4</f>
        <v>557.38336553384215</v>
      </c>
      <c r="T117" s="156">
        <f t="shared" si="49"/>
        <v>568.03640835284432</v>
      </c>
      <c r="U117" s="157">
        <f>MEDIAN(F117:S117)</f>
        <v>561.42675113009739</v>
      </c>
    </row>
    <row r="118" spans="1:21" ht="15.75">
      <c r="A118" s="169" t="s">
        <v>213</v>
      </c>
      <c r="B118" s="171">
        <f t="shared" ref="B118:K118" si="58">B117-$T$117</f>
        <v>113.64579861356162</v>
      </c>
      <c r="C118" s="172">
        <f t="shared" si="58"/>
        <v>-70.363196395777436</v>
      </c>
      <c r="D118" s="171">
        <f t="shared" si="58"/>
        <v>-8.580487710751072</v>
      </c>
      <c r="E118" s="171">
        <f t="shared" si="58"/>
        <v>205.95590527251807</v>
      </c>
      <c r="F118" s="171">
        <f t="shared" si="58"/>
        <v>43.835675833912433</v>
      </c>
      <c r="G118" s="171">
        <f t="shared" si="58"/>
        <v>-2.566271626491698</v>
      </c>
      <c r="H118" s="171">
        <f t="shared" si="58"/>
        <v>-81.301221656648181</v>
      </c>
      <c r="I118" s="173">
        <f t="shared" si="58"/>
        <v>28.532689667274099</v>
      </c>
      <c r="J118" s="171">
        <f t="shared" si="58"/>
        <v>103.17687227956674</v>
      </c>
      <c r="K118" s="172">
        <f t="shared" si="58"/>
        <v>-55.999469891305807</v>
      </c>
      <c r="N118" s="171">
        <f>N117-$T$117</f>
        <v>487.63706783763178</v>
      </c>
      <c r="O118" s="170">
        <f>O117-$T$117</f>
        <v>-458.4278718898089</v>
      </c>
      <c r="P118" s="171">
        <f>P117-$T$117</f>
        <v>-20.157618510916336</v>
      </c>
      <c r="Q118" s="171">
        <f>Q117-$T$117</f>
        <v>-125.04040087136815</v>
      </c>
      <c r="R118" s="174"/>
      <c r="S118" s="171">
        <f>S117-$T$117</f>
        <v>-10.653042819002167</v>
      </c>
      <c r="T118" s="175">
        <f>T117-$T$117</f>
        <v>0</v>
      </c>
      <c r="U118" s="176"/>
    </row>
    <row r="119" spans="1:21" ht="15.75">
      <c r="A119" s="177" t="s">
        <v>216</v>
      </c>
      <c r="B119" s="179">
        <f>B120/B5</f>
        <v>32432.432432432433</v>
      </c>
      <c r="C119" s="178">
        <f>C120/C5</f>
        <v>38983.050847457627</v>
      </c>
      <c r="D119" s="179">
        <f>D121/D5</f>
        <v>146542.54545454544</v>
      </c>
      <c r="E119" s="179">
        <f t="shared" ref="E119:K119" si="59">E120/E5</f>
        <v>63313.725490196077</v>
      </c>
      <c r="F119" s="179">
        <f t="shared" si="59"/>
        <v>44444.444444444445</v>
      </c>
      <c r="G119" s="179">
        <f t="shared" si="59"/>
        <v>37974.6835443038</v>
      </c>
      <c r="H119" s="179">
        <f t="shared" si="59"/>
        <v>100781.25</v>
      </c>
      <c r="I119" s="178">
        <f t="shared" si="59"/>
        <v>0</v>
      </c>
      <c r="J119" s="179">
        <f t="shared" si="59"/>
        <v>83620.68965517242</v>
      </c>
      <c r="K119" s="179">
        <f t="shared" si="59"/>
        <v>57466.666666666664</v>
      </c>
      <c r="N119" s="179">
        <f>N120/N5</f>
        <v>250088.82857142857</v>
      </c>
      <c r="O119" s="178">
        <f>O120/O5</f>
        <v>210526.31578947368</v>
      </c>
      <c r="P119" s="179">
        <f>P121/P5</f>
        <v>50577.777777777781</v>
      </c>
      <c r="Q119" s="179">
        <f>Q120/Q5</f>
        <v>171052.63157894736</v>
      </c>
      <c r="R119" s="179"/>
      <c r="S119" s="179">
        <f>S120/S5</f>
        <v>21888.337209302324</v>
      </c>
      <c r="T119" s="39">
        <f>(O119+C119+I119+K119+F119+D119)/6</f>
        <v>82993.837200431313</v>
      </c>
    </row>
    <row r="120" spans="1:21" ht="15.75">
      <c r="A120" s="177" t="s">
        <v>217</v>
      </c>
      <c r="B120" s="179">
        <v>1200000</v>
      </c>
      <c r="C120" s="183">
        <v>2300000</v>
      </c>
      <c r="D120" s="179">
        <v>2900000</v>
      </c>
      <c r="E120" s="179">
        <v>3229000</v>
      </c>
      <c r="F120" s="180">
        <v>8000000</v>
      </c>
      <c r="G120" s="179">
        <v>3000000</v>
      </c>
      <c r="H120" s="179">
        <v>3225000</v>
      </c>
      <c r="I120" s="183"/>
      <c r="J120" s="179">
        <v>4850000</v>
      </c>
      <c r="K120" s="184">
        <v>3448000</v>
      </c>
      <c r="N120" s="181">
        <v>8753109</v>
      </c>
      <c r="O120" s="180">
        <v>4000000</v>
      </c>
      <c r="P120" s="182">
        <v>10147000</v>
      </c>
      <c r="Q120" s="179">
        <v>9750000</v>
      </c>
      <c r="R120" s="179"/>
      <c r="S120" s="179">
        <v>1882397</v>
      </c>
    </row>
    <row r="121" spans="1:21" ht="15.75">
      <c r="A121" s="177" t="s">
        <v>218</v>
      </c>
      <c r="B121" s="140">
        <v>4200000</v>
      </c>
      <c r="C121" s="140">
        <v>10500000</v>
      </c>
      <c r="D121" s="140">
        <v>6447872</v>
      </c>
      <c r="E121" s="140">
        <v>7680000</v>
      </c>
      <c r="F121" s="140">
        <v>8000000</v>
      </c>
      <c r="G121" s="186">
        <v>12688996</v>
      </c>
      <c r="H121" s="140">
        <v>2626872</v>
      </c>
      <c r="I121" s="140"/>
      <c r="J121" s="140">
        <v>8342304</v>
      </c>
      <c r="K121" s="140">
        <v>9972580</v>
      </c>
      <c r="N121" s="140"/>
      <c r="O121" s="140">
        <v>4000000</v>
      </c>
      <c r="P121" s="182">
        <v>2276000</v>
      </c>
      <c r="Q121" s="140">
        <v>1975000</v>
      </c>
      <c r="R121" s="185">
        <v>10668751</v>
      </c>
      <c r="S121" s="140">
        <v>14462769</v>
      </c>
    </row>
    <row r="122" spans="1:21" ht="15">
      <c r="A122" s="179" t="s">
        <v>219</v>
      </c>
      <c r="B122" s="187">
        <f t="shared" ref="B122:G122" si="60">B120/B112</f>
        <v>4.952875658180423E-2</v>
      </c>
      <c r="C122" s="187">
        <f t="shared" si="60"/>
        <v>5.7948471916432057E-2</v>
      </c>
      <c r="D122" s="187">
        <f t="shared" si="60"/>
        <v>0.11154019899156122</v>
      </c>
      <c r="E122" s="187">
        <f t="shared" si="60"/>
        <v>0.11095710138678508</v>
      </c>
      <c r="F122" s="187">
        <f t="shared" si="60"/>
        <v>9.4627797762511526E-2</v>
      </c>
      <c r="G122" s="187">
        <f t="shared" si="60"/>
        <v>6.4535324474684075E-2</v>
      </c>
      <c r="H122" s="187">
        <f>H120/H112</f>
        <v>0.1287208970533372</v>
      </c>
      <c r="I122" s="187">
        <f>I120/I112</f>
        <v>0</v>
      </c>
      <c r="J122" s="187">
        <f>J120/J112</f>
        <v>0.16320092948481538</v>
      </c>
      <c r="K122" s="187">
        <f>K120/K112</f>
        <v>0.103598295086944</v>
      </c>
      <c r="N122" s="187">
        <f>N120/N112</f>
        <v>0.39483298925898941</v>
      </c>
      <c r="O122" s="187">
        <f>O120/O112</f>
        <v>0.45758737058857174</v>
      </c>
      <c r="P122" s="187">
        <f>P120/P112</f>
        <v>0.3999421232863079</v>
      </c>
      <c r="Q122" s="187">
        <f>Q120/Q112</f>
        <v>0.39582094278459018</v>
      </c>
      <c r="R122" s="187"/>
      <c r="S122" s="187">
        <f>S120/S112</f>
        <v>3.5654973184383043E-2</v>
      </c>
    </row>
    <row r="123" spans="1:21">
      <c r="A123" s="179" t="s">
        <v>220</v>
      </c>
      <c r="B123" s="188">
        <f t="shared" ref="B123:G123" si="61">(B120+B121)/B112</f>
        <v>0.22287940461811906</v>
      </c>
      <c r="C123" s="188">
        <f t="shared" si="61"/>
        <v>0.32249584370883927</v>
      </c>
      <c r="D123" s="188">
        <f t="shared" si="61"/>
        <v>0.35953913897504941</v>
      </c>
      <c r="E123" s="188">
        <f t="shared" si="61"/>
        <v>0.37486250202181431</v>
      </c>
      <c r="F123" s="188">
        <f t="shared" si="61"/>
        <v>0.18925559552502305</v>
      </c>
      <c r="G123" s="188">
        <f t="shared" si="61"/>
        <v>0.3374981491806735</v>
      </c>
      <c r="H123" s="188">
        <f>(H120+H121)/H112</f>
        <v>0.23356843822676168</v>
      </c>
      <c r="I123" s="188">
        <f>(I120+I121)/I112</f>
        <v>0</v>
      </c>
      <c r="J123" s="188">
        <f>(J120+J121)/J112</f>
        <v>0.44391675770025729</v>
      </c>
      <c r="K123" s="188">
        <f>(K120+K121)/K112</f>
        <v>0.40323352873490109</v>
      </c>
      <c r="N123" s="188">
        <f>(N120+N121)/N112</f>
        <v>0.39483298925898941</v>
      </c>
      <c r="O123" s="188">
        <f>(O120+O121)/O112</f>
        <v>0.91517474117714348</v>
      </c>
      <c r="P123" s="188">
        <f>(P120+P121)/P112</f>
        <v>0.48965024121275286</v>
      </c>
      <c r="Q123" s="188">
        <f>(Q120+Q121)/Q112</f>
        <v>0.47600005683582769</v>
      </c>
      <c r="R123" s="189">
        <v>4840000</v>
      </c>
      <c r="S123" s="188">
        <f>(S120+S121)/S112</f>
        <v>0.3095980579146107</v>
      </c>
      <c r="T123" s="190">
        <f>T113*0.16</f>
        <v>92292.03913752368</v>
      </c>
    </row>
    <row r="124" spans="1:21">
      <c r="H124" s="37">
        <f>H114/T113</f>
        <v>0.35733305028979334</v>
      </c>
    </row>
  </sheetData>
  <sheetProtection algorithmName="SHA-512" hashValue="vaf/y/s7h+PRiS96oYr6AS6leUxwnENBakXZuwznkhlfhv5Xw/7965zfwkkgldDTmYstwuTzm/Nfoa1vp2UuPQ==" saltValue="mKXGjXp1gm7CTupIzsolJw==" spinCount="100000" sheet="1" objects="1" scenarios="1"/>
  <protectedRanges>
    <protectedRange password="DDF4" sqref="O6" name="one_2"/>
    <protectedRange password="DDF4" sqref="O13" name="one_3"/>
    <protectedRange password="DDF4" sqref="I27" name="one_5"/>
    <protectedRange password="DDF4" sqref="I28" name="one_6"/>
    <protectedRange password="DDF4" sqref="I29" name="one_7"/>
    <protectedRange password="DDF4" sqref="I30" name="one_8"/>
    <protectedRange password="DDF4" sqref="I31" name="one_9"/>
    <protectedRange password="DDF4" sqref="O39" name="one_10"/>
    <protectedRange password="DDF4" sqref="O40" name="one_11"/>
    <protectedRange password="DDF4" sqref="O48" name="one_12"/>
    <protectedRange password="DDF4" sqref="O50" name="one_14"/>
    <protectedRange password="DDF4" sqref="O55" name="one_16"/>
    <protectedRange password="DDF4" sqref="O56" name="one_17"/>
    <protectedRange password="DDF4" sqref="O57" name="one_18"/>
    <protectedRange password="DDF4" sqref="O58" name="one_19"/>
    <protectedRange password="DDF4" sqref="O66 I66" name="one_20"/>
    <protectedRange password="DDF4" sqref="O67:O68 I67:I68" name="one_21"/>
    <protectedRange password="DDF4" sqref="O71 I71" name="one_22"/>
    <protectedRange password="DDF4" sqref="O74:O75" name="one_23"/>
    <protectedRange password="DDF4" sqref="O87" name="one_25"/>
    <protectedRange password="DDF4" sqref="O108 I108" name="one_27"/>
    <protectedRange password="DDF4" sqref="I110" name="one_28"/>
    <protectedRange password="DDF4" sqref="N4 S4 B4 Q4 E4:H4 J4" name="one_29"/>
    <protectedRange password="DDF4" sqref="N5 S5 B5 Q5 E5:H5 J5" name="one_30"/>
    <protectedRange password="DDF4" sqref="N27:N31 S27:S31 B27:B31 Q27:Q31 E27:H31 J27:J31" name="one_31"/>
    <protectedRange password="DDF4" sqref="N74:N76 N66:N72 B74:B76 S74:S76 B66:B72 J66:J72 Q74:Q76 S66:S72 E66:H72 E74:H76 Q66:Q72 J74:J76" name="one_33"/>
    <protectedRange password="DDF4" sqref="N87:N88 S87:S88 B87:B88 Q87:Q88 E87:H88 J87:J88" name="one_34"/>
    <protectedRange password="DDF4" sqref="N98 N100 B98 S100 B100 J100 Q98 S98 E100:H100 E98:H98 Q100 J98" name="one_35"/>
    <protectedRange password="DDF4" sqref="N108 S108 B108 Q108 E108:H108 J108" name="one_36"/>
    <protectedRange password="DDF4" sqref="N110 S110 B110 Q110 E110:H110 J110" name="one_37"/>
    <protectedRange password="DDF4" sqref="R4:R6 D4:D6" name="one_50"/>
    <protectedRange password="DDF4" sqref="R27:R31 D27:D31" name="one_51"/>
    <protectedRange password="DDF4" sqref="R66:R72 D66:D72" name="one_78"/>
    <protectedRange password="DDF4" sqref="C13" name="one_80"/>
    <protectedRange password="DDF4" sqref="C20" name="one_81"/>
    <protectedRange password="DDF4" sqref="C27:C31 K27:K31" name="one_82"/>
    <protectedRange password="DDF4" sqref="I4:I6" name="one_1"/>
    <protectedRange password="DDF4" sqref="I12:I13" name="one_83"/>
    <protectedRange password="DDF4" sqref="I20" name="one_84"/>
    <protectedRange password="DDF4" sqref="O27:O31" name="one_90"/>
    <protectedRange password="DDF4" sqref="C5:C6" name="one_46"/>
    <protectedRange password="DDF4" sqref="O20" name="one_38"/>
    <protectedRange password="DDF4" sqref="O98:O100" name="one_43"/>
    <protectedRange password="DDF4" sqref="O110 Q121:S121 N121:O121 B121:K121" name="one_45"/>
    <protectedRange password="DDF4" sqref="R39:R58 D39:D58" name="one_47"/>
    <protectedRange password="DDF4" sqref="R84:R87 D84:D87" name="one_52"/>
    <protectedRange password="DDF4" sqref="R98 D98" name="one_53"/>
    <protectedRange password="DDF4" sqref="I39:I57" name="one_54"/>
    <protectedRange password="DDF4" sqref="I87" name="one_55"/>
    <protectedRange password="DDF4" sqref="N39:N58 S39:S58 B39:B58 Q39:Q58 E39:H58 J39:J58" name="one_57"/>
    <protectedRange password="DDF4" sqref="C66:C75 K66:K75" name="one_61"/>
    <protectedRange password="DDF4" sqref="K4:K6" name="one_64"/>
    <protectedRange password="DDF4" sqref="K13" name="one_65"/>
    <protectedRange password="DDF4" sqref="K20" name="one_66"/>
    <protectedRange password="DDF4" sqref="K98" name="one_67"/>
    <protectedRange password="DDF4" sqref="K110 K108" name="one_68"/>
  </protectedRanges>
  <customSheetViews>
    <customSheetView guid="{12DF92E2-F0A4-4522-953F-2BCAD962F9B1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"/>
      <headerFooter alignWithMargins="0"/>
    </customSheetView>
    <customSheetView guid="{CDF0923A-CEB9-47A0-BB71-B372AD18A6C5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2"/>
      <headerFooter alignWithMargins="0"/>
    </customSheetView>
    <customSheetView guid="{1CB7F20C-5BCB-4F31-A665-EF07F93D0225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3"/>
      <headerFooter alignWithMargins="0"/>
    </customSheetView>
    <customSheetView guid="{A3C5269A-712A-445D-A52D-32C4B0B08868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4"/>
      <headerFooter alignWithMargins="0"/>
    </customSheetView>
    <customSheetView guid="{D2801948-3667-42F1-A855-2C3A7F5D75C1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5"/>
      <headerFooter alignWithMargins="0"/>
    </customSheetView>
    <customSheetView guid="{6B8B0E6B-B6D7-44A4-A1E7-F92938C31FF1}" fitToPage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6"/>
      <headerFooter alignWithMargins="0"/>
    </customSheetView>
    <customSheetView guid="{E6F23B71-2871-41D0-8B3E-C5A92D17DA9C}" fitToPage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7"/>
      <headerFooter alignWithMargins="0"/>
    </customSheetView>
    <customSheetView guid="{105E85B8-9A7A-4110-9634-CB22952476CC}" fitToPage="1">
      <pane xSplit="1" topLeftCell="B1" activePane="topRight" state="frozen"/>
      <selection pane="topRight" activeCell="M32" sqref="M32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8"/>
      <headerFooter alignWithMargins="0"/>
    </customSheetView>
    <customSheetView guid="{3F467621-6324-4266-A1CB-A00C20E99D00}" fitToPage="1" printArea="1">
      <pane xSplit="1" topLeftCell="B1" activePane="topRight" state="frozen"/>
      <selection pane="topRight" activeCell="M32" sqref="M32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9"/>
      <headerFooter alignWithMargins="0"/>
    </customSheetView>
    <customSheetView guid="{FC75C57A-A981-40F1-A712-EAFC64AB1BBD}" fitToPage="1" printArea="1">
      <pane xSplit="1" topLeftCell="B1" activePane="topRight" state="frozen"/>
      <selection pane="topRight" activeCell="M32" sqref="M32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0"/>
      <headerFooter alignWithMargins="0"/>
    </customSheetView>
    <customSheetView guid="{5FF6C677-6BD3-4CC5-98C1-BA95F6DE7B70}" fitToPage="1">
      <pane xSplit="1" topLeftCell="B1" activePane="topRight" state="frozen"/>
      <selection pane="topRight" activeCell="M32" sqref="M32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48" fitToHeight="2" orientation="portrait" r:id="rId11"/>
      <headerFooter alignWithMargins="0"/>
    </customSheetView>
    <customSheetView guid="{3D995FFA-456E-4A0A-AF78-CD5180B1C163}" fitToPage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2"/>
      <headerFooter alignWithMargins="0"/>
    </customSheetView>
    <customSheetView guid="{F7AAF2C2-30F8-4A4D-9DCA-2CE431E237EF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3"/>
      <headerFooter alignWithMargins="0"/>
    </customSheetView>
    <customSheetView guid="{CF016ED8-8B91-4622-8F1B-C12FD046BBA3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4"/>
      <headerFooter alignWithMargins="0"/>
    </customSheetView>
    <customSheetView guid="{A948BEAA-C943-439F-A074-9FFD96C20787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5"/>
      <headerFooter alignWithMargins="0"/>
    </customSheetView>
    <customSheetView guid="{F15FCE5B-4793-4E19-BCC1-0B2A44E18C59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6"/>
      <headerFooter alignWithMargins="0"/>
    </customSheetView>
    <customSheetView guid="{C758BCB7-A66F-4816-80B2-6959FA24FF89}" fitToPage="1" printArea="1">
      <pane xSplit="1" topLeftCell="D1" activePane="topRight" state="frozen"/>
      <selection pane="topRight" activeCell="K15" sqref="K15"/>
      <rowBreaks count="2" manualBreakCount="2">
        <brk id="19" max="16383" man="1"/>
        <brk id="64" max="16383" man="1"/>
      </rowBreaks>
      <colBreaks count="1" manualBreakCount="1">
        <brk id="10" max="1048575" man="1"/>
      </colBreaks>
      <pageMargins left="0.5" right="0.5" top="0.75" bottom="0.75" header="0.5" footer="0.5"/>
      <pageSetup paperSize="5" scale="22" fitToHeight="2" orientation="portrait" r:id="rId17"/>
      <headerFooter alignWithMargins="0"/>
    </customSheetView>
  </customSheetViews>
  <pageMargins left="0.5" right="0.5" top="0.75" bottom="0.75" header="0.5" footer="0.5"/>
  <pageSetup paperSize="5" scale="22" fitToHeight="2" orientation="portrait" r:id="rId18"/>
  <headerFooter alignWithMargins="0"/>
  <rowBreaks count="2" manualBreakCount="2">
    <brk id="19" max="16383" man="1"/>
    <brk id="64" max="16383" man="1"/>
  </rowBreaks>
  <colBreaks count="1" manualBreakCount="1">
    <brk id="10" max="1048575" man="1"/>
  </colBreaks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110"/>
  <sheetViews>
    <sheetView view="pageBreakPreview" zoomScaleNormal="100" zoomScaleSheetLayoutView="100" workbookViewId="0">
      <pane xSplit="2" ySplit="11" topLeftCell="C12" activePane="bottomRight" state="frozen"/>
      <selection activeCell="Q317" sqref="Q317"/>
      <selection pane="topRight" activeCell="Q317" sqref="Q317"/>
      <selection pane="bottomLeft" activeCell="Q317" sqref="Q317"/>
      <selection pane="bottomRight" activeCell="M30" sqref="M30"/>
    </sheetView>
  </sheetViews>
  <sheetFormatPr defaultRowHeight="15"/>
  <cols>
    <col min="1" max="1" width="40.5703125" style="194" customWidth="1"/>
    <col min="2" max="2" width="11.28515625" style="328" customWidth="1"/>
    <col min="3" max="3" width="10.28515625" style="362" customWidth="1"/>
    <col min="4" max="4" width="7.7109375" style="362" customWidth="1"/>
    <col min="5" max="5" width="10.28515625" style="362" customWidth="1"/>
    <col min="6" max="6" width="7.7109375" style="362" customWidth="1"/>
    <col min="7" max="7" width="10.28515625" style="362" customWidth="1"/>
    <col min="8" max="8" width="7.7109375" style="362" customWidth="1"/>
    <col min="9" max="9" width="10.28515625" style="362" customWidth="1"/>
    <col min="10" max="10" width="7.7109375" style="362" customWidth="1"/>
    <col min="11" max="11" width="10.28515625" customWidth="1"/>
    <col min="12" max="12" width="7.7109375" customWidth="1"/>
    <col min="13" max="13" width="10.28515625" style="362" customWidth="1"/>
    <col min="14" max="14" width="7.7109375" style="362" customWidth="1"/>
    <col min="15" max="15" width="10.28515625" style="362" customWidth="1"/>
    <col min="16" max="16" width="7.7109375" style="362" customWidth="1"/>
    <col min="17" max="17" width="20.7109375" bestFit="1" customWidth="1"/>
    <col min="18" max="18" width="2.7109375" customWidth="1"/>
    <col min="19" max="19" width="10.85546875" bestFit="1" customWidth="1"/>
    <col min="20" max="20" width="10" customWidth="1"/>
    <col min="21" max="21" width="9.85546875" bestFit="1" customWidth="1"/>
    <col min="22" max="22" width="11.28515625" bestFit="1" customWidth="1"/>
    <col min="23" max="23" width="11.42578125" bestFit="1" customWidth="1"/>
    <col min="24" max="24" width="12" bestFit="1" customWidth="1"/>
  </cols>
  <sheetData>
    <row r="1" spans="1:60" ht="18.75">
      <c r="A1" s="767" t="s">
        <v>668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60" ht="15.75" thickBot="1"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60" ht="30" customHeight="1">
      <c r="A3" s="251" t="s">
        <v>299</v>
      </c>
      <c r="B3" s="324"/>
      <c r="C3" s="841" t="s">
        <v>644</v>
      </c>
      <c r="D3" s="842"/>
      <c r="E3" s="841" t="s">
        <v>626</v>
      </c>
      <c r="F3" s="842"/>
      <c r="G3" s="841" t="s">
        <v>643</v>
      </c>
      <c r="H3" s="844"/>
      <c r="I3" s="830" t="s">
        <v>692</v>
      </c>
      <c r="J3" s="831"/>
      <c r="K3" s="849" t="s">
        <v>693</v>
      </c>
      <c r="L3" s="850"/>
      <c r="M3" s="830" t="s">
        <v>694</v>
      </c>
      <c r="N3" s="831"/>
      <c r="O3" s="841" t="s">
        <v>695</v>
      </c>
      <c r="P3" s="842"/>
    </row>
    <row r="4" spans="1:60" ht="30" customHeight="1">
      <c r="A4" s="242" t="s">
        <v>314</v>
      </c>
      <c r="B4" s="325"/>
      <c r="C4" s="832">
        <v>0</v>
      </c>
      <c r="D4" s="833"/>
      <c r="E4" s="832">
        <v>0</v>
      </c>
      <c r="F4" s="833"/>
      <c r="G4" s="843" t="s">
        <v>495</v>
      </c>
      <c r="H4" s="843"/>
      <c r="I4" s="832" t="s">
        <v>581</v>
      </c>
      <c r="J4" s="833"/>
      <c r="K4" s="851" t="s">
        <v>646</v>
      </c>
      <c r="L4" s="852"/>
      <c r="M4" s="843" t="s">
        <v>581</v>
      </c>
      <c r="N4" s="843"/>
      <c r="O4" s="845" t="s">
        <v>294</v>
      </c>
      <c r="P4" s="846"/>
    </row>
    <row r="5" spans="1:60">
      <c r="A5" s="242" t="s">
        <v>315</v>
      </c>
      <c r="B5" s="325"/>
      <c r="C5" s="832">
        <v>0</v>
      </c>
      <c r="D5" s="833"/>
      <c r="E5" s="832">
        <v>1</v>
      </c>
      <c r="F5" s="833"/>
      <c r="G5" s="832">
        <v>0</v>
      </c>
      <c r="H5" s="843"/>
      <c r="I5" s="832">
        <v>1</v>
      </c>
      <c r="J5" s="833"/>
      <c r="K5" s="853" t="s">
        <v>645</v>
      </c>
      <c r="L5" s="854"/>
      <c r="M5" s="843">
        <v>1</v>
      </c>
      <c r="N5" s="843"/>
      <c r="O5" s="832">
        <v>0.5</v>
      </c>
      <c r="P5" s="833"/>
    </row>
    <row r="6" spans="1:60" ht="15" hidden="1" customHeight="1">
      <c r="A6" s="242" t="s">
        <v>327</v>
      </c>
      <c r="B6" s="325"/>
      <c r="C6" s="458"/>
      <c r="D6" s="459"/>
      <c r="E6" s="356"/>
      <c r="F6" s="356"/>
      <c r="G6" s="720"/>
      <c r="H6" s="720"/>
      <c r="I6" s="798"/>
      <c r="J6" s="798"/>
      <c r="K6" s="736"/>
      <c r="L6" s="737"/>
      <c r="M6" s="526"/>
      <c r="N6" s="526"/>
      <c r="O6" s="458"/>
      <c r="P6" s="459"/>
    </row>
    <row r="7" spans="1:60" ht="15" hidden="1" customHeight="1">
      <c r="A7" s="552" t="s">
        <v>284</v>
      </c>
      <c r="B7" s="325"/>
      <c r="C7" s="839" t="s">
        <v>325</v>
      </c>
      <c r="D7" s="840"/>
      <c r="E7" s="834" t="s">
        <v>325</v>
      </c>
      <c r="F7" s="834"/>
      <c r="G7" s="834"/>
      <c r="H7" s="834"/>
      <c r="I7" s="834"/>
      <c r="J7" s="834"/>
      <c r="K7" s="837" t="s">
        <v>326</v>
      </c>
      <c r="L7" s="838"/>
      <c r="M7" s="834"/>
      <c r="N7" s="834"/>
      <c r="O7" s="847" t="s">
        <v>294</v>
      </c>
      <c r="P7" s="848"/>
    </row>
    <row r="8" spans="1:60" ht="15" hidden="1" customHeight="1">
      <c r="A8" s="552" t="s">
        <v>324</v>
      </c>
      <c r="B8" s="325"/>
      <c r="C8" s="839" t="s">
        <v>325</v>
      </c>
      <c r="D8" s="840"/>
      <c r="E8" s="834" t="s">
        <v>325</v>
      </c>
      <c r="F8" s="834"/>
      <c r="G8" s="834"/>
      <c r="H8" s="834"/>
      <c r="I8" s="834"/>
      <c r="J8" s="834"/>
      <c r="K8" s="835" t="s">
        <v>325</v>
      </c>
      <c r="L8" s="836"/>
      <c r="M8" s="834"/>
      <c r="N8" s="834"/>
      <c r="O8" s="847" t="s">
        <v>294</v>
      </c>
      <c r="P8" s="848"/>
    </row>
    <row r="9" spans="1:60" ht="15" hidden="1" customHeight="1">
      <c r="A9" s="552" t="s">
        <v>343</v>
      </c>
      <c r="B9" s="325"/>
      <c r="C9" s="839" t="s">
        <v>325</v>
      </c>
      <c r="D9" s="840"/>
      <c r="E9" s="834" t="s">
        <v>325</v>
      </c>
      <c r="F9" s="834"/>
      <c r="G9" s="834"/>
      <c r="H9" s="834"/>
      <c r="I9" s="829"/>
      <c r="J9" s="829"/>
      <c r="K9" s="835" t="s">
        <v>325</v>
      </c>
      <c r="L9" s="836"/>
      <c r="M9" s="834"/>
      <c r="N9" s="834"/>
      <c r="O9" s="847" t="s">
        <v>294</v>
      </c>
      <c r="P9" s="848"/>
    </row>
    <row r="10" spans="1:60">
      <c r="A10" s="553" t="s">
        <v>313</v>
      </c>
      <c r="B10" s="326" t="s">
        <v>665</v>
      </c>
      <c r="C10" s="460" t="s">
        <v>55</v>
      </c>
      <c r="D10" s="461" t="s">
        <v>309</v>
      </c>
      <c r="E10" s="361" t="s">
        <v>55</v>
      </c>
      <c r="F10" s="361" t="s">
        <v>309</v>
      </c>
      <c r="G10" s="361" t="s">
        <v>55</v>
      </c>
      <c r="H10" s="361" t="s">
        <v>309</v>
      </c>
      <c r="I10" s="361" t="s">
        <v>55</v>
      </c>
      <c r="J10" s="361" t="s">
        <v>309</v>
      </c>
      <c r="K10" s="738" t="s">
        <v>55</v>
      </c>
      <c r="L10" s="739" t="s">
        <v>309</v>
      </c>
      <c r="M10" s="361" t="s">
        <v>55</v>
      </c>
      <c r="N10" s="361" t="s">
        <v>309</v>
      </c>
      <c r="O10" s="460" t="s">
        <v>55</v>
      </c>
      <c r="P10" s="461" t="s">
        <v>309</v>
      </c>
    </row>
    <row r="11" spans="1:60" ht="6" customHeight="1">
      <c r="A11" s="241"/>
      <c r="B11" s="325"/>
      <c r="C11" s="464"/>
      <c r="D11" s="465"/>
      <c r="E11" s="464"/>
      <c r="F11" s="465"/>
      <c r="G11" s="464"/>
      <c r="H11" s="357"/>
      <c r="I11" s="464"/>
      <c r="J11" s="465"/>
      <c r="K11" s="740"/>
      <c r="L11" s="741"/>
      <c r="M11" s="464"/>
      <c r="N11" s="465"/>
      <c r="O11" s="464"/>
      <c r="P11" s="465"/>
      <c r="Z11" s="250"/>
      <c r="AA11" s="364"/>
      <c r="AB11" s="364"/>
      <c r="AC11" s="364"/>
      <c r="AD11" s="364"/>
      <c r="AF11" s="194"/>
      <c r="AG11" s="327"/>
      <c r="AH11" s="359"/>
      <c r="AI11" s="359"/>
      <c r="AJ11" s="359"/>
      <c r="AK11" s="359"/>
      <c r="AL11" s="359"/>
      <c r="AM11" s="359"/>
      <c r="AN11" s="197"/>
      <c r="AO11" s="197"/>
      <c r="AP11" s="357"/>
      <c r="AQ11" s="357"/>
      <c r="AR11" s="359"/>
      <c r="AS11" s="359"/>
      <c r="AU11" s="194"/>
      <c r="AV11" s="327"/>
      <c r="AW11" s="359"/>
      <c r="AX11" s="359"/>
      <c r="AY11" s="359"/>
      <c r="AZ11" s="359"/>
      <c r="BA11" s="359"/>
      <c r="BB11" s="359"/>
      <c r="BC11" s="197"/>
      <c r="BD11" s="197"/>
      <c r="BE11" s="357"/>
      <c r="BF11" s="357"/>
      <c r="BG11" s="359"/>
      <c r="BH11" s="359"/>
    </row>
    <row r="12" spans="1:60">
      <c r="A12" s="239" t="s">
        <v>425</v>
      </c>
      <c r="B12" s="723"/>
      <c r="C12" s="471">
        <f>SUM(C15,C28)</f>
        <v>91487665</v>
      </c>
      <c r="D12" s="472"/>
      <c r="E12" s="471">
        <f>SUM(E15,E28)</f>
        <v>91487665</v>
      </c>
      <c r="F12" s="472"/>
      <c r="G12" s="471">
        <f>SUM(G15,G28)</f>
        <v>59586179.032000005</v>
      </c>
      <c r="H12" s="708" t="s">
        <v>582</v>
      </c>
      <c r="I12" s="471">
        <f>SUM(I15,I28)</f>
        <v>24067576.399999999</v>
      </c>
      <c r="J12" s="708" t="s">
        <v>583</v>
      </c>
      <c r="K12" s="742">
        <f>SUM(K15,K28)</f>
        <v>51221705</v>
      </c>
      <c r="L12" s="743" t="s">
        <v>582</v>
      </c>
      <c r="M12" s="471">
        <f>SUM(M15,M28)</f>
        <v>24067576.399999999</v>
      </c>
      <c r="N12" s="708" t="s">
        <v>583</v>
      </c>
      <c r="O12" s="471">
        <f>SUM(O15,O28)</f>
        <v>5915276</v>
      </c>
      <c r="P12" s="465" t="s">
        <v>583</v>
      </c>
    </row>
    <row r="13" spans="1:60" ht="6" customHeight="1">
      <c r="A13" s="241"/>
      <c r="B13" s="722"/>
      <c r="C13" s="473"/>
      <c r="D13" s="472"/>
      <c r="E13" s="473"/>
      <c r="F13" s="472"/>
      <c r="G13" s="473"/>
      <c r="H13" s="728"/>
      <c r="I13" s="473"/>
      <c r="J13" s="472"/>
      <c r="K13" s="744"/>
      <c r="L13" s="745"/>
      <c r="M13" s="473"/>
      <c r="N13" s="472"/>
      <c r="O13" s="473"/>
      <c r="P13" s="465"/>
    </row>
    <row r="14" spans="1:60">
      <c r="A14" s="239" t="s">
        <v>291</v>
      </c>
      <c r="B14" s="325"/>
      <c r="C14" s="474"/>
      <c r="D14" s="475"/>
      <c r="E14" s="474"/>
      <c r="F14" s="475"/>
      <c r="G14" s="474"/>
      <c r="H14" s="729"/>
      <c r="I14" s="474"/>
      <c r="J14" s="475"/>
      <c r="K14" s="746"/>
      <c r="L14" s="747"/>
      <c r="M14" s="474"/>
      <c r="N14" s="475"/>
      <c r="O14" s="474"/>
      <c r="P14" s="475"/>
    </row>
    <row r="15" spans="1:60">
      <c r="A15" s="201" t="s">
        <v>301</v>
      </c>
      <c r="B15" s="327"/>
      <c r="C15" s="476">
        <f>C79</f>
        <v>14327875</v>
      </c>
      <c r="D15" s="477">
        <f>IF(C$18&gt;0,C15/C$18,"N/A")</f>
        <v>0.2828217471371105</v>
      </c>
      <c r="E15" s="476">
        <f>E79</f>
        <v>90933040</v>
      </c>
      <c r="F15" s="477">
        <f>IF(E$18&gt;0,E15/E$18,"N/A")</f>
        <v>0.71451385357778674</v>
      </c>
      <c r="G15" s="476">
        <f>G79</f>
        <v>3116590.2080000015</v>
      </c>
      <c r="H15" s="730">
        <f>IF(G$18&gt;0,G15/G$18,"N/A")</f>
        <v>0.64376954317457424</v>
      </c>
      <c r="I15" s="476">
        <f>I79</f>
        <v>24067576.399999999</v>
      </c>
      <c r="J15" s="477">
        <f>IF(I$18&gt;0,I15/I$18,"N/A")</f>
        <v>0.71298632170856224</v>
      </c>
      <c r="K15" s="748">
        <f>K79</f>
        <v>25366852</v>
      </c>
      <c r="L15" s="749">
        <f>IF(K$18&gt;0,K15/K$18,"N/A")</f>
        <v>0.57661243412516261</v>
      </c>
      <c r="M15" s="476">
        <f>M79</f>
        <v>24067576.399999999</v>
      </c>
      <c r="N15" s="477">
        <f>IF(M$18&gt;0,M15/M$18,"N/A")</f>
        <v>0.71298632170856224</v>
      </c>
      <c r="O15" s="476">
        <f>O79</f>
        <v>2957638</v>
      </c>
      <c r="P15" s="477">
        <f>IF(O$18&gt;0,O15/O$18,"N/A")</f>
        <v>0.66401015130418306</v>
      </c>
    </row>
    <row r="16" spans="1:60">
      <c r="A16" s="201" t="s">
        <v>311</v>
      </c>
      <c r="B16" s="327"/>
      <c r="C16" s="476">
        <f>C82</f>
        <v>36332568</v>
      </c>
      <c r="D16" s="477">
        <f>IF(C$18&gt;0,C16/C$18,"N/A")</f>
        <v>0.7171782528628895</v>
      </c>
      <c r="E16" s="476">
        <f>E82</f>
        <v>36332568</v>
      </c>
      <c r="F16" s="477">
        <f>IF(E$18&gt;0,E16/E$18,"N/A")</f>
        <v>0.28548614642221332</v>
      </c>
      <c r="G16" s="476">
        <f>G82</f>
        <v>1724568</v>
      </c>
      <c r="H16" s="730">
        <f>IF(G$18&gt;0,G16/G$18,"N/A")</f>
        <v>0.35623045682542576</v>
      </c>
      <c r="I16" s="476">
        <f>I82</f>
        <v>1496568</v>
      </c>
      <c r="J16" s="477">
        <f>IF(I$18&gt;0,I16/I$18,"N/A")</f>
        <v>4.4334855150049077E-2</v>
      </c>
      <c r="K16" s="748">
        <f>K82</f>
        <v>18626046</v>
      </c>
      <c r="L16" s="749">
        <f>IF(K$18&gt;0,K16/K$18,"N/A")</f>
        <v>0.42338756587483733</v>
      </c>
      <c r="M16" s="476">
        <f>M82</f>
        <v>1496568</v>
      </c>
      <c r="N16" s="477">
        <f>IF(M$18&gt;0,M16/M$18,"N/A")</f>
        <v>4.4334855150049077E-2</v>
      </c>
      <c r="O16" s="476">
        <f>O82</f>
        <v>1496568</v>
      </c>
      <c r="P16" s="477">
        <f>IF(O$18&gt;0,O16/O$18,"N/A")</f>
        <v>0.33598984869581694</v>
      </c>
    </row>
    <row r="17" spans="1:23">
      <c r="A17" s="201" t="s">
        <v>312</v>
      </c>
      <c r="B17" s="327"/>
      <c r="C17" s="476">
        <f>C85</f>
        <v>0</v>
      </c>
      <c r="D17" s="477">
        <f>IF(C$18&gt;0,C17/C$18,"N/A")</f>
        <v>0</v>
      </c>
      <c r="E17" s="476">
        <f>E85</f>
        <v>0</v>
      </c>
      <c r="F17" s="477">
        <f>IF(E$18&gt;0,E17/E$18,"N/A")</f>
        <v>0</v>
      </c>
      <c r="G17" s="476">
        <f>G85</f>
        <v>0</v>
      </c>
      <c r="H17" s="730">
        <f>IF(G$18&gt;0,G17/G$18,"N/A")</f>
        <v>0</v>
      </c>
      <c r="I17" s="476">
        <f>I85</f>
        <v>8191869.8000000007</v>
      </c>
      <c r="J17" s="477">
        <f>IF(I$18&gt;0,I17/I$18,"N/A")</f>
        <v>0.24267882314138853</v>
      </c>
      <c r="K17" s="748">
        <f>K85</f>
        <v>0</v>
      </c>
      <c r="L17" s="749">
        <f>IF(K$18&gt;0,K17/K$18,"N/A")</f>
        <v>0</v>
      </c>
      <c r="M17" s="476">
        <f>M85</f>
        <v>8191869.8000000007</v>
      </c>
      <c r="N17" s="477">
        <f>IF(M$18&gt;0,M17/M$18,"N/A")</f>
        <v>0.24267882314138853</v>
      </c>
      <c r="O17" s="476">
        <f>O85</f>
        <v>0</v>
      </c>
      <c r="P17" s="477">
        <f>IF(O$18&gt;0,O17/O$18,"N/A")</f>
        <v>0</v>
      </c>
    </row>
    <row r="18" spans="1:23">
      <c r="A18" s="241" t="s">
        <v>245</v>
      </c>
      <c r="B18" s="327" t="s">
        <v>379</v>
      </c>
      <c r="C18" s="478">
        <f>SUM(C15:C17)</f>
        <v>50660443</v>
      </c>
      <c r="D18" s="472">
        <f>IF(C$18&gt;0,C18/C$18,"N/A")</f>
        <v>1</v>
      </c>
      <c r="E18" s="478">
        <f>SUM(E15:E17)</f>
        <v>127265608</v>
      </c>
      <c r="F18" s="472">
        <f>IF(E$18&gt;0,E18/E$18,"N/A")</f>
        <v>1</v>
      </c>
      <c r="G18" s="478">
        <f>SUM(G15:G17)</f>
        <v>4841158.2080000015</v>
      </c>
      <c r="H18" s="728">
        <f>IF(G$18&gt;0,G18/G$18,"N/A")</f>
        <v>1</v>
      </c>
      <c r="I18" s="478">
        <f>SUM(I15:I17)</f>
        <v>33756014.200000003</v>
      </c>
      <c r="J18" s="472">
        <f>IF(I$18&gt;0,I18/I$18,"N/A")</f>
        <v>1</v>
      </c>
      <c r="K18" s="750">
        <f>SUM(K15:K17)</f>
        <v>43992898</v>
      </c>
      <c r="L18" s="745">
        <f>IF(K$18&gt;0,K18/K$18,"N/A")</f>
        <v>1</v>
      </c>
      <c r="M18" s="478">
        <f>SUM(M15:M17)</f>
        <v>33756014.200000003</v>
      </c>
      <c r="N18" s="472">
        <f>IF(M$18&gt;0,M18/M$18,"N/A")</f>
        <v>1</v>
      </c>
      <c r="O18" s="478">
        <f t="shared" ref="O18" si="0">SUM(O15:O17)</f>
        <v>4454206</v>
      </c>
      <c r="P18" s="472">
        <f>IF(O$18&gt;0,O18/O$18,"N/A")</f>
        <v>1</v>
      </c>
    </row>
    <row r="19" spans="1:23" ht="6" customHeight="1">
      <c r="A19" s="201"/>
      <c r="B19" s="327"/>
      <c r="C19" s="480"/>
      <c r="D19" s="481"/>
      <c r="E19" s="480"/>
      <c r="F19" s="481"/>
      <c r="G19" s="480"/>
      <c r="H19" s="731"/>
      <c r="I19" s="480"/>
      <c r="J19" s="481"/>
      <c r="K19" s="754"/>
      <c r="L19" s="755"/>
      <c r="M19" s="480"/>
      <c r="N19" s="481"/>
      <c r="O19" s="480"/>
      <c r="P19" s="481"/>
    </row>
    <row r="20" spans="1:23">
      <c r="A20" s="239" t="s">
        <v>302</v>
      </c>
      <c r="B20" s="327"/>
      <c r="C20" s="474"/>
      <c r="D20" s="475"/>
      <c r="E20" s="474"/>
      <c r="F20" s="475"/>
      <c r="G20" s="474"/>
      <c r="H20" s="729"/>
      <c r="I20" s="474"/>
      <c r="J20" s="475"/>
      <c r="K20" s="746"/>
      <c r="L20" s="747"/>
      <c r="M20" s="474"/>
      <c r="N20" s="475"/>
      <c r="O20" s="474"/>
      <c r="P20" s="481"/>
    </row>
    <row r="21" spans="1:23">
      <c r="A21" s="554" t="s">
        <v>585</v>
      </c>
      <c r="B21" s="327" t="s">
        <v>380</v>
      </c>
      <c r="C21" s="479">
        <f>C103</f>
        <v>0</v>
      </c>
      <c r="D21" s="482"/>
      <c r="E21" s="479">
        <f>E103</f>
        <v>0</v>
      </c>
      <c r="F21" s="482"/>
      <c r="G21" s="479">
        <f>G103</f>
        <v>-2652545.9999999981</v>
      </c>
      <c r="H21" s="556"/>
      <c r="I21" s="479">
        <f>I103</f>
        <v>-66520828.600000001</v>
      </c>
      <c r="J21" s="482"/>
      <c r="K21" s="751">
        <f>K103</f>
        <v>-75906992</v>
      </c>
      <c r="L21" s="756"/>
      <c r="M21" s="479">
        <f>M103</f>
        <v>-79026096</v>
      </c>
      <c r="N21" s="482"/>
      <c r="O21" s="479">
        <f>O103</f>
        <v>-119551760</v>
      </c>
      <c r="P21" s="481"/>
    </row>
    <row r="22" spans="1:23" ht="6" customHeight="1">
      <c r="C22" s="484"/>
      <c r="D22" s="482"/>
      <c r="F22" s="482"/>
      <c r="G22" s="476"/>
      <c r="I22" s="476"/>
      <c r="K22" s="757"/>
      <c r="L22" s="758"/>
      <c r="M22" s="476"/>
      <c r="O22" s="484"/>
      <c r="P22" s="481"/>
    </row>
    <row r="23" spans="1:23">
      <c r="A23" s="242" t="s">
        <v>378</v>
      </c>
      <c r="B23" s="328" t="s">
        <v>608</v>
      </c>
      <c r="C23" s="476">
        <f>SUM(C18,C21)</f>
        <v>50660443</v>
      </c>
      <c r="D23" s="482"/>
      <c r="E23" s="476">
        <f>SUM(E18,E21)</f>
        <v>127265608</v>
      </c>
      <c r="F23" s="482"/>
      <c r="G23" s="476">
        <f>SUM(G18,G21)</f>
        <v>2188612.2080000034</v>
      </c>
      <c r="H23" s="556"/>
      <c r="I23" s="476">
        <f>SUM(I18,I21)</f>
        <v>-32764814.399999999</v>
      </c>
      <c r="J23" s="708"/>
      <c r="K23" s="759">
        <f>SUM(K18,K21)</f>
        <v>-31914094</v>
      </c>
      <c r="L23" s="743"/>
      <c r="M23" s="476">
        <f>SUM(M18,M21)</f>
        <v>-45270081.799999997</v>
      </c>
      <c r="N23" s="708"/>
      <c r="O23" s="484">
        <f>SUM(O18,O21)</f>
        <v>-115097554</v>
      </c>
      <c r="P23" s="481"/>
    </row>
    <row r="24" spans="1:23" ht="6" customHeight="1">
      <c r="A24" s="241"/>
      <c r="B24" s="327"/>
      <c r="C24" s="473"/>
      <c r="D24" s="472"/>
      <c r="E24" s="473"/>
      <c r="F24" s="472"/>
      <c r="G24" s="473"/>
      <c r="H24" s="728"/>
      <c r="I24" s="473"/>
      <c r="J24" s="472"/>
      <c r="K24" s="744"/>
      <c r="L24" s="745"/>
      <c r="M24" s="473"/>
      <c r="N24" s="472"/>
      <c r="O24" s="473"/>
      <c r="P24" s="472"/>
    </row>
    <row r="25" spans="1:23">
      <c r="A25" s="239" t="s">
        <v>450</v>
      </c>
      <c r="B25" s="325"/>
      <c r="C25" s="473"/>
      <c r="D25" s="472"/>
      <c r="E25" s="473"/>
      <c r="F25" s="472"/>
      <c r="G25" s="473"/>
      <c r="H25" s="728"/>
      <c r="I25" s="473"/>
      <c r="J25" s="472"/>
      <c r="K25" s="744"/>
      <c r="L25" s="745"/>
      <c r="M25" s="473"/>
      <c r="N25" s="472"/>
      <c r="O25" s="473"/>
      <c r="P25" s="472"/>
      <c r="V25" s="455"/>
      <c r="W25" s="455"/>
    </row>
    <row r="26" spans="1:23">
      <c r="A26" s="201" t="s">
        <v>300</v>
      </c>
      <c r="B26" s="327"/>
      <c r="C26" s="479">
        <f>C66</f>
        <v>43679520</v>
      </c>
      <c r="D26" s="477">
        <f>IF(C$28&gt;0,C26/C$28,"N/A")</f>
        <v>0.56609174286244168</v>
      </c>
      <c r="E26" s="479">
        <f>E66</f>
        <v>0</v>
      </c>
      <c r="F26" s="477">
        <f>IF(E$28&gt;0,E26/E$28,"N/A")</f>
        <v>0</v>
      </c>
      <c r="G26" s="479">
        <f>G66</f>
        <v>30995672.399999999</v>
      </c>
      <c r="H26" s="730">
        <f>IF(G$28&gt;0,G26/G$28,"N/A")</f>
        <v>0.54889141297991184</v>
      </c>
      <c r="I26" s="479">
        <f>I66</f>
        <v>0</v>
      </c>
      <c r="J26" s="477" t="str">
        <f>IF(I$28&gt;0,I26/I$28,"N/A")</f>
        <v>N/A</v>
      </c>
      <c r="K26" s="751">
        <f>K66</f>
        <v>17000668</v>
      </c>
      <c r="L26" s="752">
        <f>IF(K$28&gt;0,K26/K$28,"N/A")</f>
        <v>0.65754262845741185</v>
      </c>
      <c r="M26" s="479">
        <f>M66</f>
        <v>0</v>
      </c>
      <c r="N26" s="477" t="str">
        <f>IF(M$28&gt;0,M26/M$28,"N/A")</f>
        <v>N/A</v>
      </c>
      <c r="O26" s="479">
        <f>O66</f>
        <v>2332638</v>
      </c>
      <c r="P26" s="477">
        <f>IF(O$28&gt;0,O26/O$28,"N/A")</f>
        <v>0.78868272587787958</v>
      </c>
    </row>
    <row r="27" spans="1:23">
      <c r="A27" s="201" t="s">
        <v>253</v>
      </c>
      <c r="B27" s="327"/>
      <c r="C27" s="479">
        <f>C69</f>
        <v>33480270</v>
      </c>
      <c r="D27" s="477">
        <f>IF(C$28&gt;0,C27/C$28,"N/A")</f>
        <v>0.43390825713755832</v>
      </c>
      <c r="E27" s="479">
        <f>E69</f>
        <v>554625</v>
      </c>
      <c r="F27" s="477">
        <f>IF(E$28&gt;0,E27/E$28,"N/A")</f>
        <v>1</v>
      </c>
      <c r="G27" s="479">
        <f>G69</f>
        <v>25473916.423999999</v>
      </c>
      <c r="H27" s="730">
        <f>IF(G$28&gt;0,G27/G$28,"N/A")</f>
        <v>0.4511085870200881</v>
      </c>
      <c r="I27" s="479">
        <f>I69</f>
        <v>0</v>
      </c>
      <c r="J27" s="477" t="str">
        <f>IF(I$28&gt;0,I27/I$28,"N/A")</f>
        <v>N/A</v>
      </c>
      <c r="K27" s="751">
        <f>K69</f>
        <v>8854185</v>
      </c>
      <c r="L27" s="752">
        <f>IF(K$28&gt;0,K27/K$28,"N/A")</f>
        <v>0.34245737154258815</v>
      </c>
      <c r="M27" s="479">
        <f>M69</f>
        <v>0</v>
      </c>
      <c r="N27" s="477" t="str">
        <f>IF(M$28&gt;0,M27/M$28,"N/A")</f>
        <v>N/A</v>
      </c>
      <c r="O27" s="479">
        <f>O69</f>
        <v>625000</v>
      </c>
      <c r="P27" s="477">
        <f>IF(O$28&gt;0,O27/O$28,"N/A")</f>
        <v>0.21131727412212042</v>
      </c>
    </row>
    <row r="28" spans="1:23">
      <c r="A28" s="241" t="s">
        <v>451</v>
      </c>
      <c r="B28" s="327" t="s">
        <v>686</v>
      </c>
      <c r="C28" s="478">
        <f>SUM(C26:C27)</f>
        <v>77159790</v>
      </c>
      <c r="D28" s="472">
        <f>IF(C$28&gt;0,C28/C$28,"N/A")</f>
        <v>1</v>
      </c>
      <c r="E28" s="478">
        <f>SUM(E26:E27)</f>
        <v>554625</v>
      </c>
      <c r="F28" s="472">
        <f>IF(E$28&gt;0,E28/E$28,"N/A")</f>
        <v>1</v>
      </c>
      <c r="G28" s="478">
        <f>SUM(G26:G27)</f>
        <v>56469588.824000001</v>
      </c>
      <c r="H28" s="728">
        <f>IF(G$28&gt;0,G28/G$28,"N/A")</f>
        <v>1</v>
      </c>
      <c r="I28" s="478">
        <f>SUM(I26:I27)</f>
        <v>0</v>
      </c>
      <c r="J28" s="472" t="str">
        <f>IF(I$28&gt;0,I28/I$28,"N/A")</f>
        <v>N/A</v>
      </c>
      <c r="K28" s="750">
        <f>SUM(K26:K27)</f>
        <v>25854853</v>
      </c>
      <c r="L28" s="753">
        <f>IF(K$28&gt;0,K28/K$28,"N/A")</f>
        <v>1</v>
      </c>
      <c r="M28" s="478">
        <f>SUM(M26:M27)</f>
        <v>0</v>
      </c>
      <c r="N28" s="472" t="str">
        <f>IF(M$28&gt;0,M28/M$28,"N/A")</f>
        <v>N/A</v>
      </c>
      <c r="O28" s="478">
        <f>SUM(O26:O27)</f>
        <v>2957638</v>
      </c>
      <c r="P28" s="472">
        <f>IF(O$28&gt;0,O28/O$28,"N/A")</f>
        <v>1</v>
      </c>
    </row>
    <row r="29" spans="1:23" ht="6" customHeight="1">
      <c r="A29" s="242"/>
      <c r="C29" s="476"/>
      <c r="D29" s="482"/>
      <c r="E29" s="476"/>
      <c r="F29" s="482"/>
      <c r="G29" s="476"/>
      <c r="H29" s="556"/>
      <c r="I29" s="476"/>
      <c r="J29" s="708"/>
      <c r="K29" s="748"/>
      <c r="L29" s="743"/>
      <c r="M29" s="476"/>
      <c r="N29" s="708"/>
      <c r="O29" s="476"/>
      <c r="P29" s="481"/>
    </row>
    <row r="30" spans="1:23" ht="15" customHeight="1">
      <c r="A30" s="242" t="s">
        <v>687</v>
      </c>
      <c r="C30" s="478">
        <f>C23+C28</f>
        <v>127820233</v>
      </c>
      <c r="D30" s="482"/>
      <c r="E30" s="478">
        <f>E23+E28</f>
        <v>127820233</v>
      </c>
      <c r="F30" s="482"/>
      <c r="G30" s="478">
        <f>G23+G28</f>
        <v>58658201.032000005</v>
      </c>
      <c r="H30" s="556"/>
      <c r="I30" s="478">
        <f>I23+I28</f>
        <v>-32764814.399999999</v>
      </c>
      <c r="J30" s="708"/>
      <c r="K30" s="750">
        <f>K23+K28</f>
        <v>-6059241</v>
      </c>
      <c r="L30" s="743"/>
      <c r="M30" s="478">
        <f>M23+M28</f>
        <v>-45270081.799999997</v>
      </c>
      <c r="N30" s="708"/>
      <c r="O30" s="478">
        <f>O23+O28</f>
        <v>-112139916</v>
      </c>
      <c r="P30" s="481"/>
    </row>
    <row r="31" spans="1:23" ht="6" customHeight="1">
      <c r="A31" s="242"/>
      <c r="C31" s="476"/>
      <c r="D31" s="482"/>
      <c r="E31" s="476"/>
      <c r="F31" s="482"/>
      <c r="G31" s="476"/>
      <c r="H31" s="556"/>
      <c r="I31" s="476"/>
      <c r="J31" s="708"/>
      <c r="K31" s="748"/>
      <c r="L31" s="743"/>
      <c r="M31" s="476"/>
      <c r="N31" s="708"/>
      <c r="O31" s="476"/>
      <c r="P31" s="481"/>
    </row>
    <row r="32" spans="1:23">
      <c r="A32" s="242" t="s">
        <v>304</v>
      </c>
      <c r="B32" s="325"/>
      <c r="C32" s="483"/>
      <c r="D32" s="482"/>
      <c r="E32" s="483"/>
      <c r="F32" s="482"/>
      <c r="G32" s="483"/>
      <c r="H32" s="556"/>
      <c r="I32" s="483"/>
      <c r="J32" s="482"/>
      <c r="K32" s="757"/>
      <c r="L32" s="756"/>
      <c r="M32" s="483"/>
      <c r="N32" s="482"/>
      <c r="O32" s="483"/>
      <c r="P32" s="481"/>
    </row>
    <row r="33" spans="1:16">
      <c r="A33" s="201" t="s">
        <v>281</v>
      </c>
      <c r="B33" s="327"/>
      <c r="C33" s="485">
        <f>C94</f>
        <v>1751</v>
      </c>
      <c r="D33" s="486">
        <f>C33/C$35</f>
        <v>1</v>
      </c>
      <c r="E33" s="485">
        <f>E94</f>
        <v>1751</v>
      </c>
      <c r="F33" s="486">
        <f>E33/E$35</f>
        <v>1</v>
      </c>
      <c r="G33" s="485">
        <f>G94</f>
        <v>900</v>
      </c>
      <c r="H33" s="732">
        <f>G33/G$35</f>
        <v>0.85227272727272729</v>
      </c>
      <c r="I33" s="485">
        <f>I94</f>
        <v>430</v>
      </c>
      <c r="J33" s="486">
        <f>I33/I$35</f>
        <v>0.39925719591457753</v>
      </c>
      <c r="K33" s="760">
        <f>K94</f>
        <v>492</v>
      </c>
      <c r="L33" s="761">
        <f>K33/K$35</f>
        <v>0.39741518578352181</v>
      </c>
      <c r="M33" s="485">
        <f>M94</f>
        <v>322</v>
      </c>
      <c r="N33" s="486">
        <f>M33/M$35</f>
        <v>0.29897864438254412</v>
      </c>
      <c r="O33" s="485">
        <f>O94</f>
        <v>0</v>
      </c>
      <c r="P33" s="486">
        <f>O33/O$35</f>
        <v>0</v>
      </c>
    </row>
    <row r="34" spans="1:16">
      <c r="A34" s="201" t="s">
        <v>303</v>
      </c>
      <c r="B34" s="327"/>
      <c r="C34" s="485">
        <f>C97</f>
        <v>0</v>
      </c>
      <c r="D34" s="486">
        <f>C34/C$35</f>
        <v>0</v>
      </c>
      <c r="E34" s="485">
        <f>E97</f>
        <v>0</v>
      </c>
      <c r="F34" s="486">
        <f>E34/E$35</f>
        <v>0</v>
      </c>
      <c r="G34" s="485">
        <f>G97</f>
        <v>156</v>
      </c>
      <c r="H34" s="732">
        <f>G34/G$35</f>
        <v>0.14772727272727273</v>
      </c>
      <c r="I34" s="485">
        <f>I97</f>
        <v>647</v>
      </c>
      <c r="J34" s="486">
        <f>I34/I$35</f>
        <v>0.60074280408542247</v>
      </c>
      <c r="K34" s="760">
        <f>K97</f>
        <v>746</v>
      </c>
      <c r="L34" s="761">
        <f>K34/K$35</f>
        <v>0.60258481421647814</v>
      </c>
      <c r="M34" s="485">
        <f>M97</f>
        <v>755</v>
      </c>
      <c r="N34" s="486">
        <f>M34/M$35</f>
        <v>0.70102135561745593</v>
      </c>
      <c r="O34" s="485">
        <f>O97</f>
        <v>1080</v>
      </c>
      <c r="P34" s="486">
        <f>O34/O$35</f>
        <v>1</v>
      </c>
    </row>
    <row r="35" spans="1:16">
      <c r="A35" s="241" t="s">
        <v>305</v>
      </c>
      <c r="B35" s="325"/>
      <c r="C35" s="480">
        <f>SUM(C33:C34)</f>
        <v>1751</v>
      </c>
      <c r="D35" s="487">
        <f>C35/C$35</f>
        <v>1</v>
      </c>
      <c r="E35" s="480">
        <f>SUM(E33:E34)</f>
        <v>1751</v>
      </c>
      <c r="F35" s="487">
        <f>E35/E$35</f>
        <v>1</v>
      </c>
      <c r="G35" s="480">
        <f>SUM(G33:G34)</f>
        <v>1056</v>
      </c>
      <c r="H35" s="733">
        <f>G35/G$35</f>
        <v>1</v>
      </c>
      <c r="I35" s="480">
        <f>SUM(I33:I34)</f>
        <v>1077</v>
      </c>
      <c r="J35" s="487">
        <f>I35/I$35</f>
        <v>1</v>
      </c>
      <c r="K35" s="754">
        <f>SUM(K33:K34)</f>
        <v>1238</v>
      </c>
      <c r="L35" s="762">
        <f>K35/K$35</f>
        <v>1</v>
      </c>
      <c r="M35" s="480">
        <f>SUM(M33:M34)</f>
        <v>1077</v>
      </c>
      <c r="N35" s="487">
        <f>M35/M$35</f>
        <v>1</v>
      </c>
      <c r="O35" s="480">
        <f t="shared" ref="O35" si="1">SUM(O33:O34)</f>
        <v>1080</v>
      </c>
      <c r="P35" s="487">
        <f>O35/O$35</f>
        <v>1</v>
      </c>
    </row>
    <row r="36" spans="1:16" ht="6" customHeight="1">
      <c r="A36" s="241"/>
      <c r="B36" s="325"/>
      <c r="C36" s="483"/>
      <c r="D36" s="482"/>
      <c r="E36" s="483"/>
      <c r="F36" s="482"/>
      <c r="G36" s="483"/>
      <c r="H36" s="556"/>
      <c r="I36" s="483"/>
      <c r="J36" s="482"/>
      <c r="K36" s="757"/>
      <c r="L36" s="756"/>
      <c r="M36" s="483"/>
      <c r="N36" s="482"/>
      <c r="O36" s="483"/>
      <c r="P36" s="482"/>
    </row>
    <row r="37" spans="1:16">
      <c r="A37" s="242" t="s">
        <v>306</v>
      </c>
      <c r="B37" s="325"/>
      <c r="C37" s="485"/>
      <c r="D37" s="488"/>
      <c r="E37" s="485"/>
      <c r="F37" s="488"/>
      <c r="G37" s="485"/>
      <c r="H37" s="734"/>
      <c r="I37" s="485"/>
      <c r="J37" s="488"/>
      <c r="K37" s="760"/>
      <c r="L37" s="763"/>
      <c r="M37" s="485"/>
      <c r="N37" s="488"/>
      <c r="O37" s="485"/>
      <c r="P37" s="488"/>
    </row>
    <row r="38" spans="1:16">
      <c r="A38" s="201" t="s">
        <v>426</v>
      </c>
      <c r="B38" s="327"/>
      <c r="C38" s="485">
        <f>C34</f>
        <v>0</v>
      </c>
      <c r="D38" s="486">
        <f>C38/C$40</f>
        <v>0</v>
      </c>
      <c r="E38" s="485">
        <f>E34</f>
        <v>0</v>
      </c>
      <c r="F38" s="486">
        <f>E38/E$40</f>
        <v>0</v>
      </c>
      <c r="G38" s="485">
        <f>G34</f>
        <v>156</v>
      </c>
      <c r="H38" s="732">
        <f>G38/G$40</f>
        <v>0.89908933835827831</v>
      </c>
      <c r="I38" s="485">
        <f>I34</f>
        <v>647</v>
      </c>
      <c r="J38" s="486">
        <f>I38/I$40</f>
        <v>1</v>
      </c>
      <c r="K38" s="760">
        <f>K34</f>
        <v>746</v>
      </c>
      <c r="L38" s="761">
        <f>K38/K$40</f>
        <v>1</v>
      </c>
      <c r="M38" s="485">
        <f>M34</f>
        <v>755</v>
      </c>
      <c r="N38" s="486">
        <f>M38/M$40</f>
        <v>1</v>
      </c>
      <c r="O38" s="485">
        <f>O34</f>
        <v>1080</v>
      </c>
      <c r="P38" s="486">
        <f>O38/O$40</f>
        <v>1</v>
      </c>
    </row>
    <row r="39" spans="1:16">
      <c r="A39" s="201" t="s">
        <v>586</v>
      </c>
      <c r="B39" s="327" t="s">
        <v>609</v>
      </c>
      <c r="C39" s="485">
        <f>IF(C23&gt;0,C23/125000,0)</f>
        <v>405.28354400000001</v>
      </c>
      <c r="D39" s="486">
        <f>C39/C$40</f>
        <v>1</v>
      </c>
      <c r="E39" s="485">
        <f>IF(E23&gt;0,E23/125000,0)</f>
        <v>1018.124864</v>
      </c>
      <c r="F39" s="486">
        <f>E39/E$40</f>
        <v>1</v>
      </c>
      <c r="G39" s="485">
        <f>IF(G23&gt;0,G23/125000,0)</f>
        <v>17.508897664000028</v>
      </c>
      <c r="H39" s="732">
        <f>G39/G$40</f>
        <v>0.10091066164172173</v>
      </c>
      <c r="I39" s="485">
        <f>IF(I23&gt;0,I23/125000,0)</f>
        <v>0</v>
      </c>
      <c r="J39" s="486">
        <f>I39/I$40</f>
        <v>0</v>
      </c>
      <c r="K39" s="760">
        <f>IF(K23&gt;0,K23/125000,0)</f>
        <v>0</v>
      </c>
      <c r="L39" s="761">
        <f>K39/K$40</f>
        <v>0</v>
      </c>
      <c r="M39" s="485">
        <f>IF(M23&gt;0,M23/125000,0)</f>
        <v>0</v>
      </c>
      <c r="N39" s="486">
        <f>M39/M$40</f>
        <v>0</v>
      </c>
      <c r="O39" s="485">
        <f>IF(O23&gt;0,O23/125000,0)</f>
        <v>0</v>
      </c>
      <c r="P39" s="486">
        <f>O39/O$40</f>
        <v>0</v>
      </c>
    </row>
    <row r="40" spans="1:16">
      <c r="A40" s="241" t="s">
        <v>307</v>
      </c>
      <c r="B40" s="327"/>
      <c r="C40" s="480">
        <f>SUM(C38:C39)</f>
        <v>405.28354400000001</v>
      </c>
      <c r="D40" s="487">
        <f>C40/C$40</f>
        <v>1</v>
      </c>
      <c r="E40" s="480">
        <f>SUM(E38:E39)</f>
        <v>1018.124864</v>
      </c>
      <c r="F40" s="487">
        <f>E40/E$40</f>
        <v>1</v>
      </c>
      <c r="G40" s="480">
        <f>SUM(G38:G39)</f>
        <v>173.50889766400002</v>
      </c>
      <c r="H40" s="733">
        <f>G40/G$40</f>
        <v>1</v>
      </c>
      <c r="I40" s="480">
        <f>SUM(I38:I39)</f>
        <v>647</v>
      </c>
      <c r="J40" s="487">
        <f>I40/I$40</f>
        <v>1</v>
      </c>
      <c r="K40" s="754">
        <f>SUM(K38:K39)</f>
        <v>746</v>
      </c>
      <c r="L40" s="762">
        <f>K40/K$40</f>
        <v>1</v>
      </c>
      <c r="M40" s="480">
        <f>SUM(M38:M39)</f>
        <v>755</v>
      </c>
      <c r="N40" s="487">
        <f>M40/M$40</f>
        <v>1</v>
      </c>
      <c r="O40" s="480">
        <f>SUM(O38:O39)</f>
        <v>1080</v>
      </c>
      <c r="P40" s="487">
        <f>O40/O$40</f>
        <v>1</v>
      </c>
    </row>
    <row r="41" spans="1:16" ht="6" customHeight="1">
      <c r="A41" s="241"/>
      <c r="B41" s="325"/>
      <c r="C41" s="480"/>
      <c r="D41" s="487"/>
      <c r="E41" s="480"/>
      <c r="F41" s="487"/>
      <c r="G41" s="480"/>
      <c r="H41" s="733"/>
      <c r="I41" s="480"/>
      <c r="J41" s="487"/>
      <c r="K41" s="754"/>
      <c r="L41" s="762"/>
      <c r="M41" s="480"/>
      <c r="N41" s="487"/>
      <c r="O41" s="480"/>
      <c r="P41" s="487"/>
    </row>
    <row r="42" spans="1:16">
      <c r="A42" s="239" t="s">
        <v>664</v>
      </c>
      <c r="B42" s="325"/>
      <c r="C42" s="480">
        <f>SUM(C35,C39)</f>
        <v>2156.2835439999999</v>
      </c>
      <c r="D42" s="487">
        <f>C42/C42</f>
        <v>1</v>
      </c>
      <c r="E42" s="480">
        <f>SUM(E35,E39)</f>
        <v>2769.1248639999999</v>
      </c>
      <c r="F42" s="487">
        <f>E42/E42</f>
        <v>1</v>
      </c>
      <c r="G42" s="480">
        <f>SUM(G35,G39)</f>
        <v>1073.508897664</v>
      </c>
      <c r="H42" s="733">
        <f>G42/G42</f>
        <v>1</v>
      </c>
      <c r="I42" s="480">
        <f>SUM(I35,I39)</f>
        <v>1077</v>
      </c>
      <c r="J42" s="487">
        <f>I42/I42</f>
        <v>1</v>
      </c>
      <c r="K42" s="754">
        <f>SUM(K35,K39)</f>
        <v>1238</v>
      </c>
      <c r="L42" s="762">
        <f>K42/K42</f>
        <v>1</v>
      </c>
      <c r="M42" s="480">
        <f>SUM(M35,M39)</f>
        <v>1077</v>
      </c>
      <c r="N42" s="487">
        <f>M42/M42</f>
        <v>1</v>
      </c>
      <c r="O42" s="480">
        <f>SUM(O35,O39)</f>
        <v>1080</v>
      </c>
      <c r="P42" s="487">
        <f>O42/O42</f>
        <v>1</v>
      </c>
    </row>
    <row r="43" spans="1:16">
      <c r="A43" s="239" t="s">
        <v>308</v>
      </c>
      <c r="B43" s="325"/>
      <c r="C43" s="474"/>
      <c r="D43" s="489">
        <f>C40/C42</f>
        <v>0.18795466168061617</v>
      </c>
      <c r="E43" s="474"/>
      <c r="F43" s="489">
        <f>E40/E42</f>
        <v>0.36767026190697627</v>
      </c>
      <c r="G43" s="474"/>
      <c r="H43" s="735">
        <f>G40/G42</f>
        <v>0.16162781514113447</v>
      </c>
      <c r="I43" s="474"/>
      <c r="J43" s="489">
        <f>I40/I42</f>
        <v>0.60074280408542247</v>
      </c>
      <c r="K43" s="746"/>
      <c r="L43" s="764">
        <f>K40/K42</f>
        <v>0.60258481421647814</v>
      </c>
      <c r="M43" s="474"/>
      <c r="N43" s="489">
        <f>M40/M42</f>
        <v>0.70102135561745593</v>
      </c>
      <c r="O43" s="474"/>
      <c r="P43" s="489">
        <f>O40/O42</f>
        <v>1</v>
      </c>
    </row>
    <row r="44" spans="1:16" ht="15" hidden="1" customHeight="1">
      <c r="A44" s="239"/>
      <c r="B44" s="325"/>
      <c r="C44" s="485"/>
      <c r="D44" s="489"/>
      <c r="E44" s="474"/>
      <c r="F44" s="489"/>
      <c r="G44" s="474"/>
      <c r="H44" s="735"/>
      <c r="I44" s="485"/>
      <c r="J44" s="489"/>
      <c r="K44" s="746"/>
      <c r="L44" s="764"/>
      <c r="M44" s="485"/>
      <c r="N44" s="489"/>
      <c r="O44" s="474"/>
      <c r="P44" s="489"/>
    </row>
    <row r="45" spans="1:16" ht="15" hidden="1" customHeight="1">
      <c r="A45" s="239" t="s">
        <v>449</v>
      </c>
      <c r="B45" s="325"/>
      <c r="C45" s="478">
        <f>C106</f>
        <v>142307202.65077677</v>
      </c>
      <c r="D45" s="487"/>
      <c r="E45" s="478">
        <f>C45</f>
        <v>142307202.65077677</v>
      </c>
      <c r="F45" s="487"/>
      <c r="G45" s="478" t="s">
        <v>5</v>
      </c>
      <c r="H45" s="733"/>
      <c r="I45" s="478" t="s">
        <v>26</v>
      </c>
      <c r="J45" s="487"/>
      <c r="K45" s="750">
        <f>K106</f>
        <v>95775465.729235187</v>
      </c>
      <c r="L45" s="762"/>
      <c r="M45" s="478" t="s">
        <v>26</v>
      </c>
      <c r="N45" s="487"/>
      <c r="O45" s="478">
        <f>O106</f>
        <v>6924919.7750105308</v>
      </c>
      <c r="P45" s="487"/>
    </row>
    <row r="46" spans="1:16" ht="6" customHeight="1">
      <c r="A46" s="375"/>
      <c r="B46" s="354"/>
      <c r="C46" s="466"/>
      <c r="D46" s="467"/>
      <c r="E46" s="468"/>
      <c r="F46" s="467"/>
      <c r="G46" s="468"/>
      <c r="H46" s="468"/>
      <c r="I46" s="468"/>
      <c r="J46" s="468"/>
      <c r="K46" s="765"/>
      <c r="L46" s="766"/>
      <c r="M46" s="468"/>
      <c r="N46" s="468"/>
      <c r="O46" s="466"/>
      <c r="P46" s="467"/>
    </row>
    <row r="47" spans="1:16" ht="6" customHeight="1">
      <c r="A47" s="241"/>
      <c r="B47" s="325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</row>
    <row r="48" spans="1:16">
      <c r="A48" s="239" t="s">
        <v>562</v>
      </c>
      <c r="B48" s="325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</row>
    <row r="49" spans="1:16">
      <c r="A49" s="338" t="s">
        <v>589</v>
      </c>
      <c r="B49" s="325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</row>
    <row r="50" spans="1:16">
      <c r="A50" s="338" t="s">
        <v>588</v>
      </c>
      <c r="B50" s="325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</row>
    <row r="51" spans="1:16">
      <c r="A51" s="338" t="s">
        <v>627</v>
      </c>
      <c r="B51" s="325"/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</row>
    <row r="52" spans="1:16">
      <c r="A52" s="338" t="s">
        <v>584</v>
      </c>
      <c r="B52" s="325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</row>
    <row r="53" spans="1:16">
      <c r="A53" s="338" t="s">
        <v>629</v>
      </c>
      <c r="B53" s="325"/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</row>
    <row r="54" spans="1:16">
      <c r="A54" s="338" t="s">
        <v>587</v>
      </c>
      <c r="B54" s="325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</row>
    <row r="55" spans="1:16">
      <c r="A55" s="194" t="s">
        <v>593</v>
      </c>
      <c r="B55" s="325"/>
      <c r="C55" s="369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69"/>
    </row>
    <row r="56" spans="1:16">
      <c r="C56" s="462"/>
      <c r="D56" s="463"/>
      <c r="E56" s="359"/>
      <c r="F56" s="359"/>
      <c r="G56" s="473"/>
      <c r="H56" s="472"/>
      <c r="I56" s="359"/>
      <c r="J56" s="359"/>
      <c r="K56" s="469"/>
      <c r="L56" s="470"/>
      <c r="M56" s="359"/>
      <c r="N56" s="359"/>
      <c r="O56" s="473"/>
      <c r="P56" s="472"/>
    </row>
    <row r="57" spans="1:16">
      <c r="A57" s="245"/>
      <c r="B57" s="327"/>
      <c r="C57" s="370"/>
      <c r="D57" s="370"/>
      <c r="E57" s="370"/>
      <c r="F57" s="370"/>
      <c r="G57" s="370"/>
      <c r="H57" s="370"/>
      <c r="I57" s="363"/>
      <c r="J57" s="370"/>
      <c r="K57" s="370"/>
      <c r="L57" s="370"/>
      <c r="M57" s="363"/>
      <c r="N57" s="370"/>
      <c r="O57" s="370"/>
      <c r="P57" s="370"/>
    </row>
    <row r="58" spans="1:16">
      <c r="A58" s="245"/>
      <c r="B58" s="327"/>
      <c r="C58" s="370"/>
      <c r="D58" s="370"/>
      <c r="E58" s="370"/>
      <c r="F58" s="370"/>
      <c r="G58" s="370"/>
      <c r="H58" s="370"/>
      <c r="I58" s="363"/>
      <c r="J58" s="370"/>
      <c r="K58" s="370"/>
      <c r="L58" s="370"/>
      <c r="M58" s="363"/>
      <c r="N58" s="370"/>
      <c r="O58" s="370"/>
      <c r="P58" s="370"/>
    </row>
    <row r="59" spans="1:16">
      <c r="A59" s="245"/>
      <c r="B59" s="327"/>
      <c r="C59" s="370"/>
      <c r="D59" s="370"/>
      <c r="E59" s="370"/>
      <c r="F59" s="370"/>
      <c r="G59" s="370"/>
      <c r="H59" s="370"/>
      <c r="I59" s="363"/>
      <c r="J59" s="370"/>
      <c r="K59" s="370"/>
      <c r="L59" s="370"/>
      <c r="M59" s="363"/>
      <c r="N59" s="370"/>
      <c r="O59" s="370"/>
      <c r="P59" s="370"/>
    </row>
    <row r="60" spans="1:16">
      <c r="A60" s="245"/>
      <c r="B60" s="327"/>
      <c r="C60" s="370"/>
      <c r="D60" s="370"/>
      <c r="E60" s="370"/>
      <c r="F60" s="370"/>
      <c r="G60" s="370"/>
      <c r="H60" s="370"/>
      <c r="I60" s="363"/>
      <c r="J60" s="370"/>
      <c r="K60" s="370"/>
      <c r="L60" s="370"/>
      <c r="M60" s="363"/>
      <c r="N60" s="370"/>
      <c r="O60" s="370"/>
      <c r="P60" s="370"/>
    </row>
    <row r="61" spans="1:16">
      <c r="A61" s="338"/>
      <c r="B61" s="327"/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</row>
    <row r="62" spans="1:16">
      <c r="A62" s="239" t="s">
        <v>246</v>
      </c>
      <c r="B62" s="325"/>
    </row>
    <row r="63" spans="1:16">
      <c r="A63" s="244" t="str">
        <f>Sites!$E$20</f>
        <v>Future Development</v>
      </c>
      <c r="B63" s="329"/>
      <c r="C63" s="476">
        <f>SUMIF(Sites!$E:$E,$A63,Sites!$AG:$AG)</f>
        <v>93298165</v>
      </c>
      <c r="D63" s="476"/>
      <c r="E63" s="476">
        <f>$C63</f>
        <v>93298165</v>
      </c>
      <c r="F63" s="476"/>
      <c r="G63" s="476">
        <f>SUMIF(Sites!$E:$E,$A63,Sites!$FZ:$FZ)</f>
        <v>60918352.600000001</v>
      </c>
      <c r="H63" s="476"/>
      <c r="I63" s="476">
        <f>SUMIF(Sites!$E:$E,$A63,Sites!$EV:$EV)</f>
        <v>24067576.399999999</v>
      </c>
      <c r="J63" s="476"/>
      <c r="K63" s="476">
        <f>SUMIF(Sites!$E:$E,$A63,Sites!$CD:$CD)</f>
        <v>51221705</v>
      </c>
      <c r="L63" s="476"/>
      <c r="M63" s="476">
        <f>SUMIF(Sites!$E:$E,$A63,Sites!$DN:$DN)</f>
        <v>24067576.399999999</v>
      </c>
      <c r="N63" s="476"/>
      <c r="O63" s="476">
        <f>SUMIF(Sites!$E:$E,$A63,Sites!$HC:$HC)</f>
        <v>5915276</v>
      </c>
      <c r="P63" s="355"/>
    </row>
    <row r="64" spans="1:16">
      <c r="A64" s="245"/>
      <c r="B64" s="330"/>
      <c r="C64" s="476"/>
      <c r="D64" s="476"/>
      <c r="E64" s="476"/>
      <c r="F64" s="476"/>
      <c r="G64" s="476"/>
      <c r="H64" s="476"/>
      <c r="I64" s="476"/>
      <c r="J64" s="476"/>
      <c r="K64" s="476"/>
      <c r="L64" s="476"/>
      <c r="M64" s="476"/>
      <c r="N64" s="476"/>
      <c r="O64" s="476"/>
      <c r="P64" s="363"/>
    </row>
    <row r="65" spans="1:16">
      <c r="A65" s="239" t="s">
        <v>248</v>
      </c>
      <c r="B65" s="325"/>
      <c r="C65" s="476"/>
      <c r="D65" s="476"/>
      <c r="E65" s="476"/>
      <c r="F65" s="476"/>
      <c r="G65" s="476"/>
      <c r="H65" s="476"/>
      <c r="I65" s="476"/>
      <c r="J65" s="476"/>
      <c r="K65" s="476"/>
      <c r="L65" s="476"/>
      <c r="M65" s="476"/>
      <c r="N65" s="476"/>
      <c r="O65" s="476"/>
      <c r="P65" s="358"/>
    </row>
    <row r="66" spans="1:16">
      <c r="A66" s="244" t="str">
        <f>Sites!$E$20</f>
        <v>Future Development</v>
      </c>
      <c r="B66" s="329"/>
      <c r="C66" s="476">
        <f>SUMIFS(Sites!$AG:$AG,Sites!$AI:$AI,"RBF",Sites!$E:$E,Summary!$A66)-SUMIFS(Sites!$AO:$AO,Sites!$AI:$AI,"RBF",Sites!$E:$E,Summary!$A66)</f>
        <v>43679520</v>
      </c>
      <c r="D66" s="476"/>
      <c r="E66" s="476">
        <f>SUMIFS(Sites!$AG$5:$AG$28,Sites!$AI$5:$AI$28,"RBF",Sites!$E$5:$E$28,Summary!$A66)-SUMIFS(Sites!$AP$5:$AP$28,Sites!$AI$5:$AI$28,"RBF",Sites!$E$5:$E$28,Summary!$A66)</f>
        <v>0</v>
      </c>
      <c r="F66" s="476"/>
      <c r="G66" s="476">
        <f>SUMIFS(Sites!$FZ:$FZ,Sites!$AI:$AI,"RBF",Sites!$E:$E,Summary!$A66)-SUMIFS(Sites!$GA:$GA,Sites!$AI:$AI,"RBF",Sites!$E:$E,Summary!$A66)</f>
        <v>30995672.399999999</v>
      </c>
      <c r="H66" s="476"/>
      <c r="I66" s="476">
        <f>SUMIFS(Sites!$EV:$EV,Sites!$AI:$AI,"RBF",Sites!$E:$E,Summary!$A66)-SUMIFS(Sites!$EW:$EW,Sites!$AI:$AI,"RBF",Sites!$E:$E,Summary!$A66)</f>
        <v>0</v>
      </c>
      <c r="J66" s="476"/>
      <c r="K66" s="476">
        <f>SUMIFS(Sites!$CD:$CD,Sites!$AI:$AI,"RBF",Sites!$E:$E,Summary!$A66)-SUMIFS(Sites!$CE:$CE,Sites!$AI:$AI,"RBF",Sites!$E:$E,Summary!$A66)</f>
        <v>17000668</v>
      </c>
      <c r="L66" s="476"/>
      <c r="M66" s="476">
        <f>SUMIFS(Sites!$DN:$DN,Sites!$AI:$AI,"RBF",Sites!$E:$E,Summary!$A66)-SUMIFS(Sites!$DO:$DO,Sites!$AI:$AI,"RBF",Sites!$E:$E,Summary!$A66)</f>
        <v>0</v>
      </c>
      <c r="N66" s="476"/>
      <c r="O66" s="476">
        <f>SUMIFS(Sites!$HC:$HC,Sites!$AI:$AI,"RBF",Sites!$E:$E,Summary!$A66)-SUMIFS(Sites!$HD:$HD,Sites!$AI:$AI,"RBF",Sites!$E:$E,Summary!$A66)</f>
        <v>2332638</v>
      </c>
      <c r="P66" s="355"/>
    </row>
    <row r="67" spans="1:16">
      <c r="A67" s="244"/>
      <c r="B67" s="329"/>
      <c r="C67" s="476"/>
      <c r="D67" s="476"/>
      <c r="E67" s="476"/>
      <c r="F67" s="476"/>
      <c r="G67" s="476"/>
      <c r="H67" s="476"/>
      <c r="I67" s="476"/>
      <c r="J67" s="476"/>
      <c r="K67" s="476"/>
      <c r="L67" s="476"/>
      <c r="M67" s="476"/>
      <c r="N67" s="476"/>
      <c r="O67" s="476"/>
      <c r="P67" s="355"/>
    </row>
    <row r="68" spans="1:16">
      <c r="A68" s="239" t="s">
        <v>252</v>
      </c>
      <c r="B68" s="325"/>
      <c r="C68" s="476"/>
      <c r="D68" s="476"/>
      <c r="E68" s="476"/>
      <c r="F68" s="476"/>
      <c r="G68" s="476"/>
      <c r="H68" s="476"/>
      <c r="I68" s="476"/>
      <c r="J68" s="476"/>
      <c r="K68" s="476"/>
      <c r="L68" s="476"/>
      <c r="M68" s="476"/>
      <c r="N68" s="476"/>
      <c r="O68" s="476"/>
      <c r="P68" s="355"/>
    </row>
    <row r="69" spans="1:16">
      <c r="A69" s="244" t="str">
        <f>Sites!$E$20</f>
        <v>Future Development</v>
      </c>
      <c r="B69" s="329"/>
      <c r="C69" s="476">
        <f>SUMIFS(Sites!$AG:$AG,Sites!$AI:$AI,"GPF",Sites!$E:$E,Summary!$A69)-SUMIFS(Sites!$AO:$AO,Sites!$AI:$AI,"GPF",Sites!$E:$E,Summary!$A69)+C72</f>
        <v>33480270</v>
      </c>
      <c r="D69" s="476"/>
      <c r="E69" s="476">
        <f>SUMIFS(Sites!$AG:$AG,Sites!$AI:$AI,"GPF",Sites!$E:$E,Summary!$A69)-SUMIFS(Sites!$AP:$AP,Sites!$AI:$AI,"GPF",Sites!$E:$E,Summary!$A69)+E72</f>
        <v>554625</v>
      </c>
      <c r="F69" s="476"/>
      <c r="G69" s="476">
        <f>SUMIFS(Sites!$FZ:$FZ,Sites!$AI:$AI,"GPF",Sites!$E:$E,Summary!$A69)-SUMIFS(Sites!$GA:$GA,Sites!$AI:$AI,"GPF",Sites!$E:$E,Summary!$A69)+G72</f>
        <v>25473916.423999999</v>
      </c>
      <c r="H69" s="476"/>
      <c r="I69" s="476">
        <f>SUMIFS(Sites!$EV:$EV,Sites!$AI:$AI,"GPF",Sites!$E:$E,Summary!$A69)-SUMIFS(Sites!$EW:$EW,Sites!$AI:$AI,"GPF",Sites!$E:$E,Summary!$A69)+I72</f>
        <v>0</v>
      </c>
      <c r="J69" s="476"/>
      <c r="K69" s="476">
        <f>SUMIFS(Sites!$CD:$CD,Sites!$AI:$AI,"GPF",Sites!$E:$E,Summary!$A69)-SUMIFS(Sites!$CE:$CE,Sites!$AI:$AI,"GPF",Sites!$E:$E,Summary!$A69)+K72</f>
        <v>8854185</v>
      </c>
      <c r="L69" s="476"/>
      <c r="M69" s="476">
        <f>SUMIFS(Sites!$DN:$DN,Sites!$AI:$AI,"GPF",Sites!$E:$E,Summary!$A69)-SUMIFS(Sites!$DO:$DO,Sites!$AI:$AI,"GPF",Sites!$E:$E,Summary!$A69)+M72</f>
        <v>0</v>
      </c>
      <c r="N69" s="476"/>
      <c r="O69" s="476">
        <f>SUMIFS(Sites!$GZ:$GZ,Sites!$AI:$AI,"GPF",Sites!$E:$E,Summary!$A69)-SUMIFS(Sites!$HD:$HD,Sites!$AI:$AI,"GPF",Sites!$E:$E,Summary!$A69)+O72</f>
        <v>625000</v>
      </c>
      <c r="P69" s="355"/>
    </row>
    <row r="70" spans="1:16">
      <c r="A70" s="244"/>
      <c r="B70" s="329"/>
      <c r="C70" s="476"/>
      <c r="D70" s="476"/>
      <c r="E70" s="476"/>
      <c r="F70" s="476"/>
      <c r="G70" s="476"/>
      <c r="H70" s="476"/>
      <c r="I70" s="476"/>
      <c r="J70" s="476"/>
      <c r="K70" s="476"/>
      <c r="L70" s="476"/>
      <c r="M70" s="476"/>
      <c r="N70" s="476"/>
      <c r="O70" s="476"/>
      <c r="P70" s="355"/>
    </row>
    <row r="71" spans="1:16">
      <c r="A71" s="239" t="s">
        <v>423</v>
      </c>
      <c r="B71" s="325"/>
      <c r="C71" s="476"/>
      <c r="D71" s="476"/>
      <c r="E71" s="476"/>
      <c r="F71" s="476"/>
      <c r="G71" s="476"/>
      <c r="H71" s="476"/>
      <c r="I71" s="476"/>
      <c r="J71" s="476"/>
      <c r="K71" s="476"/>
      <c r="L71" s="476"/>
      <c r="M71" s="476"/>
      <c r="N71" s="476"/>
      <c r="O71" s="476"/>
      <c r="P71" s="355"/>
    </row>
    <row r="72" spans="1:16">
      <c r="A72" s="244" t="str">
        <f>Sites!$E$20</f>
        <v>Future Development</v>
      </c>
      <c r="B72" s="329"/>
      <c r="C72" s="476">
        <f>SUMIFS(Sites!$AO:$AO,Sites!$AI:$AI,"CA",Sites!$E:$E,Summary!$A72)*3</f>
        <v>554625</v>
      </c>
      <c r="D72" s="476"/>
      <c r="E72" s="476">
        <f>SUMIFS(Sites!$AP$5:$AP$28,Sites!$AI$5:$AI$28,"CA",Sites!$E$5:$E$28,Summary!$A72)*3</f>
        <v>554625</v>
      </c>
      <c r="F72" s="476"/>
      <c r="G72" s="476">
        <f>SUMIFS(Sites!$GA:$GA,Sites!$AI:$AI,"CA",Sites!$E:$E,Summary!$A72)*3</f>
        <v>408095.424</v>
      </c>
      <c r="H72" s="476"/>
      <c r="I72" s="476">
        <f>SUMIFS(Sites!$EW:$EW,Sites!$AI:$AI,"CA",Sites!$E:$E,Summary!$A72)*3</f>
        <v>0</v>
      </c>
      <c r="J72" s="476"/>
      <c r="K72" s="476">
        <f>SUMIFS(Sites!$CE:$CE,Sites!$AI:$AI,"CA",Sites!$E:$E,Summary!$A72)*3</f>
        <v>0</v>
      </c>
      <c r="L72" s="476"/>
      <c r="M72" s="476">
        <f>SUMIFS(Sites!$DO:$DO,Sites!$AI:$AI,"CA",Sites!$E:$E,Summary!$A72)*3</f>
        <v>0</v>
      </c>
      <c r="N72" s="476"/>
      <c r="O72" s="476">
        <f>SUMIFS(Sites!$HD:$HD,Sites!$AI:$AI,"CA",Sites!$E:$E,Summary!$A72)*3</f>
        <v>0</v>
      </c>
      <c r="P72" s="355"/>
    </row>
    <row r="73" spans="1:16">
      <c r="A73" s="244"/>
      <c r="B73" s="329"/>
      <c r="C73" s="476"/>
      <c r="D73" s="476"/>
      <c r="E73" s="476"/>
      <c r="F73" s="476"/>
      <c r="G73" s="476"/>
      <c r="H73" s="476"/>
      <c r="I73" s="476"/>
      <c r="J73" s="476"/>
      <c r="K73" s="476"/>
      <c r="L73" s="476"/>
      <c r="M73" s="476"/>
      <c r="N73" s="476"/>
      <c r="O73" s="476"/>
      <c r="P73" s="355"/>
    </row>
    <row r="74" spans="1:16">
      <c r="A74" s="239" t="s">
        <v>424</v>
      </c>
      <c r="B74" s="329"/>
      <c r="C74" s="476"/>
      <c r="D74" s="476"/>
      <c r="E74" s="476"/>
      <c r="F74" s="476"/>
      <c r="G74" s="476"/>
      <c r="H74" s="476"/>
      <c r="I74" s="476"/>
      <c r="J74" s="476"/>
      <c r="K74" s="476"/>
      <c r="L74" s="476"/>
      <c r="M74" s="476"/>
      <c r="N74" s="476"/>
      <c r="O74" s="476"/>
      <c r="P74" s="355"/>
    </row>
    <row r="75" spans="1:16">
      <c r="A75" s="244" t="str">
        <f>Sites!$E$20</f>
        <v>Future Development</v>
      </c>
      <c r="B75" s="329"/>
      <c r="C75" s="476">
        <f>SUMIFS(Sites!$AG:$AG,Sites!$AI:$AI,"CA",Sites!$E:$E,Summary!$A75)*Funding!$C$10</f>
        <v>1810500</v>
      </c>
      <c r="D75" s="476"/>
      <c r="E75" s="476">
        <f>SUMIFS(Sites!$AG:$AG,Sites!$AI:$AI,"CA",Sites!$E:$E,Summary!$A75)*Funding!$C$10</f>
        <v>1810500</v>
      </c>
      <c r="F75" s="476"/>
      <c r="G75" s="476">
        <f>SUMIFS(Sites!$FZ:$FZ,Sites!$AI:$AI,"CA",Sites!$E:$E,Summary!$A75)*Funding!$C$10</f>
        <v>1332173.568</v>
      </c>
      <c r="H75" s="476"/>
      <c r="I75" s="476">
        <f>SUMIFS(Sites!$EV:$EV,Sites!$AI:$AI,"CA",Sites!$E:$E,Summary!$A75)*Funding!$C$10</f>
        <v>0</v>
      </c>
      <c r="J75" s="476"/>
      <c r="K75" s="476">
        <f>SUMIFS(Sites!$CD:$CD,Sites!$AI:$AI,"CA",Sites!$E:$E,Summary!$A75)*Funding!$C$10</f>
        <v>0</v>
      </c>
      <c r="L75" s="476"/>
      <c r="M75" s="476">
        <f>SUMIFS(Sites!$DN:$DN,Sites!$AI:$AI,"CA",Sites!$E:$E,Summary!$A75)*Funding!$C$10</f>
        <v>0</v>
      </c>
      <c r="N75" s="476"/>
      <c r="O75" s="476">
        <f>SUMIFS(Sites!$GZ:$GZ,Sites!$AI:$AI,"CA",Sites!$E:$E,Summary!$A75)*Funding!$C$10</f>
        <v>0</v>
      </c>
      <c r="P75" s="355"/>
    </row>
    <row r="76" spans="1:16">
      <c r="A76" s="244" t="s">
        <v>15</v>
      </c>
      <c r="B76" s="329"/>
      <c r="C76" s="476">
        <f>SUMIFS(Sites!$AG:$AG,Sites!$AI:$AI,"CA",Sites!$E:$E,Summary!$A76)*Funding!$C$10</f>
        <v>0</v>
      </c>
      <c r="D76" s="476"/>
      <c r="E76" s="476">
        <f>SUMIFS(Sites!$AG:$AG,Sites!$AI:$AI,"CA",Sites!$E:$E,Summary!$A76)*Funding!$C$10</f>
        <v>0</v>
      </c>
      <c r="F76" s="476"/>
      <c r="G76" s="476">
        <f>SUMIFS(Sites!$FZ:$FZ,Sites!$AI:$AI,"CA",Sites!$E:$E,Summary!$A76)*Funding!$C$10</f>
        <v>0</v>
      </c>
      <c r="H76" s="476"/>
      <c r="I76" s="476">
        <f>SUMIFS(Sites!$EV:$EV,Sites!$AI:$AI,"CA",Sites!$E:$E,Summary!$A76)*Funding!$C$10</f>
        <v>0</v>
      </c>
      <c r="J76" s="476"/>
      <c r="K76" s="476">
        <f>SUMIFS(Sites!$CD:$CD,Sites!$AI:$AI,"CA",Sites!$E:$E,Summary!$A76)*Funding!$C$10</f>
        <v>0</v>
      </c>
      <c r="L76" s="476"/>
      <c r="M76" s="476">
        <f>SUMIFS(Sites!$DN:$DN,Sites!$AI:$AI,"CA",Sites!$E:$E,Summary!$A76)*Funding!$C$10</f>
        <v>0</v>
      </c>
      <c r="N76" s="476"/>
      <c r="O76" s="476">
        <f>SUMIFS(Sites!$GZ:$GZ,Sites!$AI:$AI,"CA",Sites!$E:$E,Summary!$A76)*Funding!$C$10</f>
        <v>0</v>
      </c>
      <c r="P76" s="355"/>
    </row>
    <row r="77" spans="1:16">
      <c r="A77" s="244"/>
      <c r="B77" s="329"/>
      <c r="C77" s="476"/>
      <c r="D77" s="476"/>
      <c r="E77" s="476"/>
      <c r="F77" s="476"/>
      <c r="G77" s="476"/>
      <c r="H77" s="476"/>
      <c r="I77" s="476"/>
      <c r="J77" s="476"/>
      <c r="K77" s="476"/>
      <c r="L77" s="476"/>
      <c r="M77" s="476"/>
      <c r="N77" s="476"/>
      <c r="O77" s="476"/>
      <c r="P77" s="358"/>
    </row>
    <row r="78" spans="1:16">
      <c r="A78" s="239" t="s">
        <v>241</v>
      </c>
      <c r="B78" s="325"/>
      <c r="C78" s="476"/>
      <c r="D78" s="476"/>
      <c r="E78" s="476"/>
      <c r="F78" s="476"/>
      <c r="G78" s="476"/>
      <c r="H78" s="476"/>
      <c r="I78" s="476"/>
      <c r="J78" s="476"/>
      <c r="K78" s="476"/>
      <c r="L78" s="476"/>
      <c r="M78" s="476"/>
      <c r="N78" s="476"/>
      <c r="O78" s="476"/>
      <c r="P78" s="358"/>
    </row>
    <row r="79" spans="1:16">
      <c r="A79" s="244" t="str">
        <f>Sites!$E$20</f>
        <v>Future Development</v>
      </c>
      <c r="B79" s="329"/>
      <c r="C79" s="476">
        <f>SUMIF(Sites!$E:$E,$A79,Sites!$AO:$AO)</f>
        <v>14327875</v>
      </c>
      <c r="D79" s="476"/>
      <c r="E79" s="476">
        <f>SUMIF(Sites!$E:$E,$A79,Sites!$AP:$AP)</f>
        <v>90933040</v>
      </c>
      <c r="F79" s="476"/>
      <c r="G79" s="476">
        <f>SUMIF(Sites!$E:$E,$A79,Sites!$GA:$GA)</f>
        <v>3116590.2080000015</v>
      </c>
      <c r="H79" s="476"/>
      <c r="I79" s="476">
        <f>SUMIF(Sites!$E:$E,$A79,Sites!$EW:$EW)</f>
        <v>24067576.399999999</v>
      </c>
      <c r="J79" s="476"/>
      <c r="K79" s="476">
        <f>SUMIF(Sites!$E:$E,$A79,Sites!$CE:$CE)</f>
        <v>25366852</v>
      </c>
      <c r="L79" s="476"/>
      <c r="M79" s="476">
        <f>SUMIF(Sites!$E:$E,$A79,Sites!$DO:$DO)</f>
        <v>24067576.399999999</v>
      </c>
      <c r="N79" s="476"/>
      <c r="O79" s="476">
        <f>SUMIF(Sites!$E:$E,$A79,Sites!$HD:$HD)</f>
        <v>2957638</v>
      </c>
      <c r="P79" s="355"/>
    </row>
    <row r="80" spans="1:16">
      <c r="A80" s="244"/>
      <c r="B80" s="329"/>
      <c r="C80" s="476"/>
      <c r="D80" s="476"/>
      <c r="E80" s="476"/>
      <c r="F80" s="476"/>
      <c r="G80" s="476"/>
      <c r="H80" s="476"/>
      <c r="I80" s="476"/>
      <c r="J80" s="476"/>
      <c r="K80" s="476"/>
      <c r="L80" s="476"/>
      <c r="M80" s="476"/>
      <c r="N80" s="476"/>
      <c r="O80" s="476"/>
      <c r="P80" s="358"/>
    </row>
    <row r="81" spans="1:16">
      <c r="A81" s="239" t="s">
        <v>247</v>
      </c>
      <c r="B81" s="325"/>
      <c r="C81" s="476"/>
      <c r="D81" s="476"/>
      <c r="E81" s="476"/>
      <c r="F81" s="476"/>
      <c r="G81" s="476"/>
      <c r="H81" s="476"/>
      <c r="I81" s="476"/>
      <c r="J81" s="476"/>
      <c r="K81" s="476"/>
      <c r="L81" s="476"/>
      <c r="M81" s="476"/>
      <c r="N81" s="476"/>
      <c r="O81" s="476"/>
      <c r="P81" s="358"/>
    </row>
    <row r="82" spans="1:16">
      <c r="A82" s="244" t="str">
        <f>Sites!$E$20</f>
        <v>Future Development</v>
      </c>
      <c r="B82" s="329"/>
      <c r="C82" s="476">
        <f>SUMIF(Sites!$E:$E,$A82,Sites!$AZ:$AZ)</f>
        <v>36332568</v>
      </c>
      <c r="D82" s="476"/>
      <c r="E82" s="476">
        <f>$C82</f>
        <v>36332568</v>
      </c>
      <c r="F82" s="476"/>
      <c r="G82" s="476">
        <f>SUMIF(Sites!$E:$E,$A82,Sites!$FV:$FV)</f>
        <v>1724568</v>
      </c>
      <c r="H82" s="476"/>
      <c r="I82" s="476">
        <f>SUMIF(Sites!$E:$E,$A82,Sites!$EK:$EK)</f>
        <v>1496568</v>
      </c>
      <c r="J82" s="476"/>
      <c r="K82" s="476">
        <f>SUMIF(Sites!$E:$E,$A82,Sites!$BZ:$BZ)</f>
        <v>18626046</v>
      </c>
      <c r="L82" s="476"/>
      <c r="M82" s="476">
        <f>SUMIF(Sites!$E:$E,$A82,Sites!$DC:$DC)</f>
        <v>1496568</v>
      </c>
      <c r="N82" s="476"/>
      <c r="O82" s="476">
        <f>SUMIF(Sites!$E:$E,$A82,Sites!$GY:$GY)</f>
        <v>1496568</v>
      </c>
      <c r="P82" s="355"/>
    </row>
    <row r="83" spans="1:16">
      <c r="A83" s="245"/>
      <c r="B83" s="330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N83" s="476"/>
      <c r="O83" s="476"/>
      <c r="P83" s="363"/>
    </row>
    <row r="84" spans="1:16">
      <c r="A84" s="243" t="s">
        <v>319</v>
      </c>
      <c r="B84" s="330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N84" s="476"/>
      <c r="O84" s="476"/>
      <c r="P84" s="363"/>
    </row>
    <row r="85" spans="1:16">
      <c r="A85" s="244" t="str">
        <f>Sites!$E$20</f>
        <v>Future Development</v>
      </c>
      <c r="B85" s="329"/>
      <c r="C85" s="476">
        <v>0</v>
      </c>
      <c r="D85" s="476"/>
      <c r="E85" s="476">
        <v>0</v>
      </c>
      <c r="F85" s="476"/>
      <c r="G85" s="476">
        <f>SUMIF(Sites!$E:$E,$A85,Sites!$FY:$FY)</f>
        <v>0</v>
      </c>
      <c r="H85" s="476"/>
      <c r="I85" s="476">
        <f>SUMIF(Sites!$E:$E,$A85,Sites!$ER:$ER)</f>
        <v>8191869.8000000007</v>
      </c>
      <c r="J85" s="476"/>
      <c r="K85" s="476">
        <f>SUMIF(Sites!$E:$E,$A85,Sites!$CC:$CC)</f>
        <v>0</v>
      </c>
      <c r="L85" s="476"/>
      <c r="M85" s="476">
        <f>SUMIF(Sites!$E:$E,$A85,Sites!$DJ:$DJ)</f>
        <v>8191869.8000000007</v>
      </c>
      <c r="N85" s="476"/>
      <c r="O85" s="476">
        <v>0</v>
      </c>
      <c r="P85" s="365"/>
    </row>
    <row r="86" spans="1:16">
      <c r="A86" s="245"/>
      <c r="B86" s="330"/>
      <c r="C86" s="476"/>
      <c r="D86" s="476"/>
      <c r="E86" s="476"/>
      <c r="F86" s="476"/>
      <c r="G86" s="476"/>
      <c r="H86" s="476"/>
      <c r="I86" s="476"/>
      <c r="J86" s="476"/>
      <c r="K86" s="476"/>
      <c r="L86" s="476"/>
      <c r="M86" s="476"/>
      <c r="N86" s="476"/>
      <c r="O86" s="476"/>
      <c r="P86" s="363"/>
    </row>
    <row r="87" spans="1:16">
      <c r="A87" s="239" t="s">
        <v>245</v>
      </c>
      <c r="B87" s="325"/>
      <c r="C87" s="476"/>
      <c r="D87" s="476"/>
      <c r="E87" s="476"/>
      <c r="F87" s="476"/>
      <c r="G87" s="476"/>
      <c r="H87" s="476"/>
      <c r="I87" s="476"/>
      <c r="J87" s="476"/>
      <c r="K87" s="476"/>
      <c r="L87" s="476"/>
      <c r="M87" s="476"/>
      <c r="N87" s="476"/>
      <c r="O87" s="476"/>
      <c r="P87" s="363"/>
    </row>
    <row r="88" spans="1:16">
      <c r="A88" s="244" t="str">
        <f>Sites!$E$20</f>
        <v>Future Development</v>
      </c>
      <c r="B88" s="329"/>
      <c r="C88" s="476">
        <f>SUM(C79,C82,C85)</f>
        <v>50660443</v>
      </c>
      <c r="D88" s="476"/>
      <c r="E88" s="476">
        <f>SUM(E79,E82,E85)</f>
        <v>127265608</v>
      </c>
      <c r="F88" s="476"/>
      <c r="G88" s="476">
        <f>SUM(G79,G82,G85)</f>
        <v>4841158.2080000015</v>
      </c>
      <c r="H88" s="476"/>
      <c r="I88" s="476">
        <f>SUM(I79,I82,I85)</f>
        <v>33756014.200000003</v>
      </c>
      <c r="J88" s="476"/>
      <c r="K88" s="476">
        <f>SUM(K79,K82,K85)</f>
        <v>43992898</v>
      </c>
      <c r="L88" s="476"/>
      <c r="M88" s="476">
        <f>SUM(M79,M82,M85)</f>
        <v>33756014.200000003</v>
      </c>
      <c r="N88" s="476"/>
      <c r="O88" s="476">
        <f>SUM(O79,O82,O85)</f>
        <v>4454206</v>
      </c>
      <c r="P88" s="355"/>
    </row>
    <row r="89" spans="1:16">
      <c r="A89" s="246"/>
      <c r="B89" s="331"/>
      <c r="C89" s="366"/>
      <c r="D89" s="366"/>
      <c r="E89" s="366"/>
      <c r="F89" s="366"/>
      <c r="G89" s="366"/>
      <c r="H89" s="366"/>
      <c r="I89" s="366"/>
      <c r="J89" s="366"/>
      <c r="K89" s="247"/>
      <c r="L89" s="247"/>
      <c r="M89" s="366"/>
      <c r="N89" s="366"/>
      <c r="O89" s="366"/>
      <c r="P89" s="363"/>
    </row>
    <row r="90" spans="1:16">
      <c r="A90" s="245"/>
      <c r="B90" s="330"/>
      <c r="C90" s="363"/>
      <c r="D90" s="363"/>
      <c r="E90" s="363"/>
      <c r="F90" s="363"/>
      <c r="G90" s="363"/>
      <c r="H90" s="363"/>
      <c r="I90" s="363"/>
      <c r="J90" s="363"/>
      <c r="K90" s="203"/>
      <c r="L90" s="203"/>
      <c r="M90" s="363"/>
      <c r="N90" s="363"/>
      <c r="O90" s="363"/>
      <c r="P90" s="363"/>
    </row>
    <row r="91" spans="1:16">
      <c r="A91" s="243" t="s">
        <v>290</v>
      </c>
      <c r="B91" s="330"/>
      <c r="C91" s="363"/>
      <c r="D91" s="363"/>
      <c r="E91" s="363"/>
      <c r="F91" s="363"/>
      <c r="G91" s="363"/>
      <c r="H91" s="363"/>
      <c r="I91" s="363"/>
      <c r="J91" s="363"/>
      <c r="K91" s="203"/>
      <c r="L91" s="203"/>
      <c r="M91" s="363"/>
      <c r="N91" s="363"/>
      <c r="O91" s="363"/>
      <c r="P91" s="363"/>
    </row>
    <row r="92" spans="1:16">
      <c r="A92" s="245"/>
      <c r="B92" s="330"/>
      <c r="C92" s="363"/>
      <c r="D92" s="363"/>
      <c r="E92" s="363"/>
      <c r="F92" s="363"/>
      <c r="G92" s="363"/>
      <c r="H92" s="363"/>
      <c r="I92" s="363"/>
      <c r="J92" s="363"/>
      <c r="K92" s="203"/>
      <c r="L92" s="203"/>
      <c r="M92" s="363"/>
      <c r="N92" s="363"/>
      <c r="O92" s="363"/>
      <c r="P92" s="363"/>
    </row>
    <row r="93" spans="1:16">
      <c r="A93" s="239" t="s">
        <v>292</v>
      </c>
      <c r="B93" s="325"/>
      <c r="C93" s="363"/>
      <c r="D93" s="363"/>
      <c r="E93" s="363"/>
      <c r="F93" s="363"/>
      <c r="G93" s="363"/>
      <c r="H93" s="363"/>
      <c r="I93" s="363"/>
      <c r="J93" s="363"/>
      <c r="K93" s="203"/>
      <c r="L93" s="203"/>
      <c r="M93" s="363"/>
      <c r="N93" s="363"/>
      <c r="O93" s="363"/>
      <c r="P93" s="363"/>
    </row>
    <row r="94" spans="1:16">
      <c r="A94" s="244" t="str">
        <f>Sites!$E$20</f>
        <v>Future Development</v>
      </c>
      <c r="B94" s="329"/>
      <c r="C94" s="360">
        <f>SUMIF(Sites!$E:$E,$A94,Sites!$AU:$AU)</f>
        <v>1751</v>
      </c>
      <c r="D94" s="360"/>
      <c r="E94" s="360">
        <f>$C94</f>
        <v>1751</v>
      </c>
      <c r="F94" s="360"/>
      <c r="G94" s="360">
        <f>SUMIF(Sites!$E:$E,$A94,Sites!$FS:$FS)</f>
        <v>900</v>
      </c>
      <c r="H94" s="360"/>
      <c r="I94" s="360">
        <f>SUMIF(Sites!$E:$E,$A94,Sites!$EJ:$EJ)</f>
        <v>430</v>
      </c>
      <c r="J94" s="360"/>
      <c r="K94" s="195">
        <f>SUMIF(Sites!$E:$E,$A94,Sites!$BW:$BW)</f>
        <v>492</v>
      </c>
      <c r="L94" s="195"/>
      <c r="M94" s="360">
        <f>SUMIF(Sites!$E:$E,$A94,Sites!$DB:$DB)</f>
        <v>322</v>
      </c>
      <c r="N94" s="360"/>
      <c r="O94" s="360">
        <f>SUMIF(Sites!$E:$E,$A94,Sites!$GX:$GX)</f>
        <v>0</v>
      </c>
      <c r="P94" s="360"/>
    </row>
    <row r="95" spans="1:16">
      <c r="A95" s="245"/>
      <c r="B95" s="330"/>
      <c r="C95" s="363"/>
      <c r="D95" s="363"/>
      <c r="E95" s="363"/>
      <c r="F95" s="363"/>
      <c r="G95" s="363"/>
      <c r="H95" s="363"/>
      <c r="I95" s="363"/>
      <c r="J95" s="363"/>
      <c r="K95" s="203"/>
      <c r="L95" s="203"/>
      <c r="M95" s="363"/>
      <c r="N95" s="363"/>
      <c r="O95" s="363"/>
      <c r="P95" s="363"/>
    </row>
    <row r="96" spans="1:16">
      <c r="A96" s="239" t="s">
        <v>490</v>
      </c>
      <c r="B96" s="325"/>
      <c r="C96" s="363"/>
      <c r="D96" s="363"/>
      <c r="E96" s="363"/>
      <c r="F96" s="363"/>
      <c r="G96" s="363"/>
      <c r="H96" s="363"/>
      <c r="I96" s="363"/>
      <c r="J96" s="363"/>
      <c r="K96" s="203"/>
      <c r="L96" s="203"/>
      <c r="M96" s="363"/>
      <c r="N96" s="363"/>
      <c r="O96" s="363"/>
      <c r="P96" s="363"/>
    </row>
    <row r="97" spans="1:16">
      <c r="A97" s="244" t="str">
        <f>Sites!$E$20</f>
        <v>Future Development</v>
      </c>
      <c r="B97" s="329"/>
      <c r="C97" s="360">
        <f>SUMIF(Sites!$E:$E,$A97,Sites!$AT:$AT)</f>
        <v>0</v>
      </c>
      <c r="D97" s="360"/>
      <c r="E97" s="360">
        <f>$C97</f>
        <v>0</v>
      </c>
      <c r="F97" s="360"/>
      <c r="G97" s="360">
        <f>SUMIF(Sites!$E:$E,$A97,Sites!$FR:$FR)</f>
        <v>156</v>
      </c>
      <c r="H97" s="360"/>
      <c r="I97" s="360">
        <f>SUMIF(Sites!$E:$E,$A97,Sites!$EI:$EI)</f>
        <v>647</v>
      </c>
      <c r="J97" s="360"/>
      <c r="K97" s="195">
        <f>SUMIF(Sites!$E:$E,$A97,Sites!$BV:$BV)</f>
        <v>746</v>
      </c>
      <c r="L97" s="195"/>
      <c r="M97" s="360">
        <f>SUMIF(Sites!$E:$E,$A97,Sites!$DA:$DA)</f>
        <v>755</v>
      </c>
      <c r="N97" s="360"/>
      <c r="O97" s="360">
        <f>SUMIF(Sites!$E:$E,$A97,Sites!$GW:$GW)</f>
        <v>1080</v>
      </c>
      <c r="P97" s="360"/>
    </row>
    <row r="98" spans="1:16">
      <c r="A98" s="248"/>
      <c r="B98" s="332"/>
      <c r="C98" s="367"/>
      <c r="D98" s="367"/>
      <c r="E98" s="367"/>
      <c r="F98" s="367"/>
      <c r="G98" s="367"/>
      <c r="H98" s="367"/>
      <c r="I98" s="367"/>
      <c r="J98" s="367"/>
      <c r="K98" s="249"/>
      <c r="L98" s="249"/>
      <c r="M98" s="367"/>
      <c r="N98" s="367"/>
      <c r="O98" s="368"/>
      <c r="P98" s="358"/>
    </row>
    <row r="99" spans="1:16">
      <c r="A99" s="244"/>
      <c r="B99" s="329"/>
      <c r="C99" s="355"/>
      <c r="D99" s="355"/>
      <c r="E99" s="355"/>
      <c r="F99" s="355"/>
      <c r="G99" s="355"/>
      <c r="H99" s="355"/>
      <c r="I99" s="355"/>
      <c r="J99" s="355"/>
      <c r="K99" s="202"/>
      <c r="L99" s="202"/>
      <c r="M99" s="355"/>
      <c r="N99" s="355"/>
      <c r="O99" s="358"/>
      <c r="P99" s="358"/>
    </row>
    <row r="100" spans="1:16">
      <c r="A100" s="239" t="s">
        <v>283</v>
      </c>
      <c r="B100" s="325"/>
      <c r="C100" s="355"/>
      <c r="D100" s="355"/>
      <c r="E100" s="355"/>
      <c r="F100" s="355"/>
      <c r="G100" s="355"/>
      <c r="H100" s="355"/>
      <c r="I100" s="355"/>
      <c r="J100" s="355"/>
      <c r="K100" s="202"/>
      <c r="L100" s="202"/>
      <c r="M100" s="355"/>
      <c r="N100" s="355"/>
      <c r="O100" s="358"/>
      <c r="P100" s="358"/>
    </row>
    <row r="101" spans="1:16">
      <c r="A101" s="244"/>
      <c r="B101" s="329"/>
      <c r="C101" s="355"/>
      <c r="D101" s="355"/>
      <c r="E101" s="355"/>
      <c r="F101" s="355"/>
      <c r="G101" s="355"/>
      <c r="H101" s="355"/>
      <c r="I101" s="355"/>
      <c r="J101" s="355"/>
      <c r="K101" s="202"/>
      <c r="L101" s="202"/>
      <c r="M101" s="355"/>
      <c r="N101" s="355"/>
      <c r="O101" s="358"/>
      <c r="P101" s="358"/>
    </row>
    <row r="102" spans="1:16">
      <c r="A102" s="239" t="s">
        <v>289</v>
      </c>
      <c r="B102" s="325"/>
      <c r="C102" s="355"/>
      <c r="D102" s="355"/>
      <c r="E102" s="355"/>
      <c r="F102" s="355"/>
      <c r="G102" s="355"/>
      <c r="H102" s="355"/>
      <c r="I102" s="355"/>
      <c r="J102" s="355"/>
      <c r="K102" s="202"/>
      <c r="L102" s="202"/>
      <c r="M102" s="355"/>
      <c r="N102" s="355"/>
      <c r="O102" s="358"/>
      <c r="P102" s="358"/>
    </row>
    <row r="103" spans="1:16">
      <c r="A103" s="244" t="str">
        <f>Sites!$E$20</f>
        <v>Future Development</v>
      </c>
      <c r="B103" s="329"/>
      <c r="C103" s="476">
        <v>0</v>
      </c>
      <c r="D103" s="476"/>
      <c r="E103" s="476">
        <f>$C103</f>
        <v>0</v>
      </c>
      <c r="F103" s="476"/>
      <c r="G103" s="476">
        <f>SUMIF(Sites!$E:$E,$A103,Sites!$GC:$GC)</f>
        <v>-2652545.9999999981</v>
      </c>
      <c r="H103" s="476"/>
      <c r="I103" s="476">
        <f>SUMIF(Sites!$E:$E,$A103,Sites!$EY:$EY)</f>
        <v>-66520828.600000001</v>
      </c>
      <c r="J103" s="476"/>
      <c r="K103" s="476">
        <f>SUMIF(Sites!$E:$E,$A103,Sites!$CG:$CG)</f>
        <v>-75906992</v>
      </c>
      <c r="L103" s="476"/>
      <c r="M103" s="476">
        <f>SUMIF(Sites!$E:$E,$A103,Sites!$DQ:$DQ)</f>
        <v>-79026096</v>
      </c>
      <c r="N103" s="476"/>
      <c r="O103" s="476">
        <f>SUMIF(Sites!$E:$E,$A103,Sites!$HF:$HF)</f>
        <v>-119551760</v>
      </c>
      <c r="P103" s="355"/>
    </row>
    <row r="104" spans="1:16">
      <c r="A104" s="244"/>
      <c r="B104" s="329"/>
      <c r="C104" s="476"/>
      <c r="D104" s="476"/>
      <c r="E104" s="476"/>
      <c r="F104" s="476"/>
      <c r="G104" s="476"/>
      <c r="H104" s="476"/>
      <c r="I104" s="476"/>
      <c r="J104" s="476"/>
      <c r="K104" s="476"/>
      <c r="L104" s="476"/>
      <c r="M104" s="476"/>
      <c r="N104" s="476"/>
      <c r="O104" s="476"/>
      <c r="P104" s="358"/>
    </row>
    <row r="105" spans="1:16">
      <c r="A105" s="242" t="s">
        <v>468</v>
      </c>
      <c r="C105" s="476"/>
      <c r="D105" s="476"/>
      <c r="E105" s="476"/>
      <c r="F105" s="476"/>
      <c r="G105" s="476"/>
      <c r="H105" s="476"/>
      <c r="I105" s="476"/>
      <c r="J105" s="476"/>
      <c r="K105" s="476"/>
      <c r="L105" s="476"/>
      <c r="M105" s="476"/>
      <c r="N105" s="476"/>
      <c r="O105" s="476"/>
    </row>
    <row r="106" spans="1:16">
      <c r="A106" s="244" t="str">
        <f>Sites!$E$20</f>
        <v>Future Development</v>
      </c>
      <c r="C106" s="476">
        <f>SUMIF(Sites!$E:$E,$A106,Sites!$IQ:$IQ)</f>
        <v>142307202.65077677</v>
      </c>
      <c r="D106" s="476"/>
      <c r="E106" s="476"/>
      <c r="F106" s="476"/>
      <c r="G106" s="476"/>
      <c r="H106" s="476"/>
      <c r="I106" s="476"/>
      <c r="J106" s="476"/>
      <c r="K106" s="476">
        <f>SUMIF(Sites!$E:$E,$A106,Sites!$KW:$KW)</f>
        <v>95775465.729235187</v>
      </c>
      <c r="L106" s="476"/>
      <c r="M106" s="476"/>
      <c r="N106" s="476"/>
      <c r="O106" s="476">
        <f>SUMIF(Sites!$E:$E,$A106,Sites!$NN:$NN)</f>
        <v>6924919.7750105308</v>
      </c>
    </row>
    <row r="107" spans="1:16">
      <c r="C107" s="476"/>
      <c r="D107" s="476"/>
      <c r="E107" s="476"/>
      <c r="F107" s="476"/>
      <c r="G107" s="476"/>
      <c r="H107" s="476"/>
      <c r="I107" s="476"/>
      <c r="J107" s="476"/>
      <c r="K107" s="476"/>
      <c r="L107" s="476"/>
      <c r="M107" s="476"/>
      <c r="N107" s="476"/>
      <c r="O107" s="476"/>
    </row>
    <row r="108" spans="1:16">
      <c r="A108" s="242" t="s">
        <v>469</v>
      </c>
      <c r="C108" s="476"/>
      <c r="D108" s="476"/>
      <c r="E108" s="476"/>
      <c r="F108" s="476"/>
      <c r="G108" s="476"/>
      <c r="H108" s="476"/>
      <c r="I108" s="476"/>
      <c r="J108" s="476"/>
      <c r="K108" s="476"/>
      <c r="L108" s="476"/>
      <c r="M108" s="476"/>
      <c r="N108" s="476"/>
      <c r="O108" s="476"/>
    </row>
    <row r="109" spans="1:16">
      <c r="A109" s="244" t="str">
        <f>Sites!$E$20</f>
        <v>Future Development</v>
      </c>
      <c r="C109" s="476">
        <f>SUMIF(Sites!$E:$E,$A109,Sites!$IN:$IN)</f>
        <v>1399472.4749999999</v>
      </c>
      <c r="D109" s="476"/>
      <c r="E109" s="476"/>
      <c r="F109" s="476"/>
      <c r="G109" s="476"/>
      <c r="H109" s="476"/>
      <c r="I109" s="476"/>
      <c r="J109" s="476"/>
      <c r="K109" s="476">
        <f>SUMIF(Sites!$E:$E,$A109,Sites!$KT:$KT)</f>
        <v>768325.57499999995</v>
      </c>
      <c r="L109" s="476"/>
      <c r="M109" s="476"/>
      <c r="N109" s="476"/>
      <c r="O109" s="476">
        <f>SUMIF(Sites!$E:$E,$A109,Sites!$NK:$NK)</f>
        <v>162824.69999999998</v>
      </c>
    </row>
    <row r="110" spans="1:16">
      <c r="C110" s="476"/>
      <c r="D110" s="476"/>
      <c r="E110" s="476"/>
      <c r="F110" s="476"/>
      <c r="G110" s="476"/>
      <c r="H110" s="476"/>
      <c r="I110" s="476"/>
      <c r="J110" s="476"/>
      <c r="K110" s="476"/>
      <c r="L110" s="476"/>
      <c r="M110" s="476"/>
      <c r="N110" s="476"/>
      <c r="O110" s="476"/>
    </row>
  </sheetData>
  <sheetProtection algorithmName="SHA-512" hashValue="0CV+0eZ5DTM+q4+jJiz3Y0Xa6AcpGAfCFEEGG/ihP11GIz4Vx/q/ROVnt/o5NOre2gMXCSUvY2/b39D+knsdwQ==" saltValue="x5U0Qp5k8tekw8ZDQJVQ8w==" spinCount="100000" sheet="1" objects="1" scenarios="1"/>
  <customSheetViews>
    <customSheetView guid="{12DF92E2-F0A4-4522-953F-2BCAD962F9B1}" showPageBreaks="1" fitToPage="1" printArea="1" hiddenRows="1" view="pageBreakPreview">
      <pane xSplit="2" ySplit="9" topLeftCell="C10" activePane="bottomRight" state="frozen"/>
      <selection pane="bottomRight" activeCell="K15" sqref="K15"/>
      <rowBreaks count="1" manualBreakCount="1">
        <brk id="57" max="9" man="1"/>
      </rowBreaks>
      <pageMargins left="0.7" right="0.7" top="0.75" bottom="0.75" header="0.3" footer="0.3"/>
      <pageSetup scale="55" orientation="landscape" horizontalDpi="4294967295" verticalDpi="4294967295" r:id="rId1"/>
      <headerFooter>
        <oddHeader>&amp;R&amp;"-,Bold"&amp;28DRAFT</oddHeader>
        <oddFooter>&amp;LPrinted &amp;D&amp;R&amp;8&amp;Z&amp;F</oddFooter>
      </headerFooter>
    </customSheetView>
    <customSheetView guid="{CDF0923A-CEB9-47A0-BB71-B372AD18A6C5}" showPageBreaks="1" fitToPage="1" printArea="1" hiddenRows="1" view="pageBreakPreview">
      <pane xSplit="2" ySplit="9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55" orientation="landscape" horizontalDpi="4294967295" verticalDpi="4294967295" r:id="rId2"/>
      <headerFooter>
        <oddHeader>&amp;R&amp;"-,Bold"&amp;28DRAFT</oddHeader>
        <oddFooter>&amp;LPrinted &amp;D&amp;R&amp;8&amp;Z&amp;F</oddFooter>
      </headerFooter>
    </customSheetView>
    <customSheetView guid="{1CB7F20C-5BCB-4F31-A665-EF07F93D0225}" showPageBreaks="1" fitToPage="1" printArea="1" hiddenRows="1" view="pageBreakPreview">
      <pane xSplit="2" ySplit="9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55" orientation="landscape" horizontalDpi="4294967295" verticalDpi="4294967295" r:id="rId3"/>
      <headerFooter>
        <oddHeader>&amp;R&amp;"-,Bold"&amp;28DRAFT</oddHeader>
        <oddFooter>&amp;LPrinted &amp;D&amp;R&amp;8&amp;Z&amp;F</oddFooter>
      </headerFooter>
    </customSheetView>
    <customSheetView guid="{A3C5269A-712A-445D-A52D-32C4B0B08868}" showPageBreaks="1" fitToPage="1" printArea="1" hiddenRows="1" view="pageBreakPreview">
      <pane xSplit="2" ySplit="9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55" orientation="landscape" horizontalDpi="4294967295" verticalDpi="4294967295" r:id="rId4"/>
      <headerFooter>
        <oddHeader>&amp;R&amp;"-,Bold"&amp;28DRAFT</oddHeader>
        <oddFooter>&amp;LPrinted &amp;D&amp;R&amp;8&amp;Z&amp;F</oddFooter>
      </headerFooter>
    </customSheetView>
    <customSheetView guid="{D2801948-3667-42F1-A855-2C3A7F5D75C1}" showPageBreaks="1" fitToPage="1" printArea="1" hiddenRows="1" view="pageBreakPreview">
      <pane xSplit="2" ySplit="9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55" orientation="landscape" horizontalDpi="4294967295" verticalDpi="4294967295" r:id="rId5"/>
      <headerFooter>
        <oddHeader>&amp;R&amp;"-,Bold"&amp;28DRAFT</oddHeader>
        <oddFooter>&amp;LPrinted &amp;D&amp;R&amp;8&amp;Z&amp;F</oddFooter>
      </headerFooter>
    </customSheetView>
    <customSheetView guid="{6B8B0E6B-B6D7-44A4-A1E7-F92938C31FF1}" showPageBreaks="1" fitToPage="1" printArea="1" hiddenRows="1" view="pageBreakPreview">
      <pane xSplit="2" ySplit="9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55" orientation="landscape" horizontalDpi="4294967295" verticalDpi="4294967295" r:id="rId6"/>
      <headerFooter>
        <oddHeader>&amp;R&amp;"-,Bold"&amp;28DRAFT</oddHeader>
        <oddFooter>&amp;LPrinted &amp;D&amp;R&amp;8&amp;Z&amp;F</oddFooter>
      </headerFooter>
    </customSheetView>
    <customSheetView guid="{E6F23B71-2871-41D0-8B3E-C5A92D17DA9C}" showPageBreaks="1" fitToPage="1" printArea="1" hiddenRows="1" view="pageBreakPreview">
      <pane xSplit="2" ySplit="9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55" orientation="landscape" horizontalDpi="4294967295" verticalDpi="4294967295" r:id="rId7"/>
      <headerFooter>
        <oddHeader>&amp;R&amp;"-,Bold"&amp;28DRAFT</oddHeader>
        <oddFooter>&amp;LPrinted &amp;D&amp;R&amp;8&amp;Z&amp;F</oddFooter>
      </headerFooter>
    </customSheetView>
    <customSheetView guid="{105E85B8-9A7A-4110-9634-CB22952476CC}" showPageBreaks="1" fitToPage="1" printArea="1" hiddenRows="1" hiddenColumns="1" view="pageBreakPreview">
      <pane xSplit="1" ySplit="8" topLeftCell="B161" activePane="bottomRight" state="frozen"/>
      <selection pane="bottomRight" activeCell="O30" sqref="O30"/>
      <rowBreaks count="1" manualBreakCount="1">
        <brk id="119" max="15" man="1"/>
      </rowBreaks>
      <pageMargins left="0.7" right="0.7" top="0.75" bottom="0.75" header="0.3" footer="0.3"/>
      <pageSetup scale="72" orientation="portrait" horizontalDpi="4294967295" verticalDpi="4294967295" r:id="rId8"/>
      <headerFooter>
        <oddHeader>&amp;R&amp;"-,Bold"&amp;28DRAFT</oddHeader>
        <oddFooter>&amp;LPrinted &amp;D&amp;R&amp;8&amp;Z&amp;F</oddFooter>
      </headerFooter>
    </customSheetView>
    <customSheetView guid="{3F467621-6324-4266-A1CB-A00C20E99D00}" showPageBreaks="1" printArea="1" view="pageBreakPreview">
      <selection activeCell="L2" sqref="L2:M2"/>
      <rowBreaks count="1" manualBreakCount="1">
        <brk id="40" max="10" man="1"/>
      </rowBreaks>
      <pageMargins left="0.7" right="0.7" top="0.75" bottom="0.75" header="0.3" footer="0.3"/>
      <pageSetup scale="62" fitToHeight="4" orientation="landscape" r:id="rId9"/>
      <headerFooter>
        <oddHeader>&amp;C&amp;G</oddHeader>
        <oddFooter>&amp;LPrinted &amp;D&amp;R&amp;8&amp;Z&amp;F</oddFooter>
      </headerFooter>
    </customSheetView>
    <customSheetView guid="{FC75C57A-A981-40F1-A712-EAFC64AB1BBD}" showPageBreaks="1" printArea="1" view="pageBreakPreview" topLeftCell="A31">
      <selection activeCell="L12" sqref="L12"/>
      <rowBreaks count="1" manualBreakCount="1">
        <brk id="41" max="10" man="1"/>
      </rowBreaks>
      <pageMargins left="0.7" right="0.7" top="0.75" bottom="0.75" header="0.3" footer="0.3"/>
      <pageSetup scale="62" fitToHeight="4" orientation="landscape" r:id="rId10"/>
      <headerFooter>
        <oddHeader>&amp;C&amp;G</oddHeader>
        <oddFooter>&amp;LPrinted &amp;D&amp;R&amp;8&amp;Z&amp;F</oddFooter>
      </headerFooter>
    </customSheetView>
    <customSheetView guid="{5FF6C677-6BD3-4CC5-98C1-BA95F6DE7B70}" showPageBreaks="1" printArea="1" view="pageBreakPreview">
      <selection activeCell="L2" sqref="L2:M2"/>
      <rowBreaks count="1" manualBreakCount="1">
        <brk id="40" max="10" man="1"/>
      </rowBreaks>
      <pageMargins left="0.7" right="0.7" top="0.75" bottom="0.75" header="0.3" footer="0.3"/>
      <pageSetup scale="62" fitToHeight="4" orientation="landscape" r:id="rId11"/>
      <headerFooter>
        <oddHeader>&amp;C&amp;G</oddHeader>
        <oddFooter>&amp;LPrinted &amp;D&amp;R&amp;8&amp;Z&amp;F</oddFooter>
      </headerFooter>
    </customSheetView>
    <customSheetView guid="{3D995FFA-456E-4A0A-AF78-CD5180B1C163}" showPageBreaks="1" fitToPage="1" printArea="1" hiddenRows="1" view="pageBreakPreview">
      <pane xSplit="2" ySplit="11" topLeftCell="C12" activePane="bottomRight" state="frozen"/>
      <selection pane="bottomRight" activeCell="A51" sqref="A51"/>
      <rowBreaks count="1" manualBreakCount="1">
        <brk id="57" max="9" man="1"/>
      </rowBreaks>
      <pageMargins left="0.7" right="0.7" top="0.75" bottom="0.75" header="0.3" footer="0.3"/>
      <printOptions horizontalCentered="1"/>
      <pageSetup scale="68" orientation="landscape" r:id="rId12"/>
      <headerFooter>
        <oddHeader>&amp;C&amp;16Attachment C: Summary Tables of Affordable Housing Outcomes Under Various Development Scenarios</oddHeader>
        <oddFooter>&amp;LPrinted &amp;D&amp;R&amp;8&amp;Z&amp;F</oddFooter>
      </headerFooter>
    </customSheetView>
    <customSheetView guid="{F7AAF2C2-30F8-4A4D-9DCA-2CE431E237EF}" showPageBreaks="1" fitToPage="1" printArea="1" hiddenRows="1" view="pageBreakPreview">
      <pane xSplit="2" ySplit="8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68" orientation="landscape" horizontalDpi="4294967295" verticalDpi="4294967295" r:id="rId13"/>
      <headerFooter>
        <oddHeader>&amp;R&amp;"-,Bold"&amp;28DRAFT</oddHeader>
        <oddFooter>&amp;LPrinted &amp;D&amp;R&amp;8&amp;Z&amp;F</oddFooter>
      </headerFooter>
    </customSheetView>
    <customSheetView guid="{CF016ED8-8B91-4622-8F1B-C12FD046BBA3}" showPageBreaks="1" fitToPage="1" printArea="1" hiddenRows="1" view="pageBreakPreview">
      <pane xSplit="2" ySplit="8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68" orientation="landscape" horizontalDpi="4294967295" verticalDpi="4294967295" r:id="rId14"/>
      <headerFooter>
        <oddHeader>&amp;R&amp;"-,Bold"&amp;28DRAFT</oddHeader>
        <oddFooter>&amp;LPrinted &amp;D&amp;R&amp;8&amp;Z&amp;F</oddFooter>
      </headerFooter>
    </customSheetView>
    <customSheetView guid="{A948BEAA-C943-439F-A074-9FFD96C20787}" showPageBreaks="1" fitToPage="1" printArea="1" hiddenRows="1" view="pageBreakPreview">
      <pane xSplit="2" ySplit="8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68" orientation="landscape" horizontalDpi="4294967295" verticalDpi="4294967295" r:id="rId15"/>
      <headerFooter>
        <oddHeader>&amp;R&amp;"-,Bold"&amp;28DRAFT</oddHeader>
        <oddFooter>&amp;LPrinted &amp;D&amp;R&amp;8&amp;Z&amp;F</oddFooter>
      </headerFooter>
    </customSheetView>
    <customSheetView guid="{F15FCE5B-4793-4E19-BCC1-0B2A44E18C59}" showPageBreaks="1" fitToPage="1" printArea="1" hiddenRows="1" view="pageBreakPreview">
      <pane xSplit="2" ySplit="8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68" orientation="landscape" horizontalDpi="4294967295" verticalDpi="4294967295" r:id="rId16"/>
      <headerFooter>
        <oddHeader>&amp;R&amp;"-,Bold"&amp;28DRAFT</oddHeader>
        <oddFooter>&amp;LPrinted &amp;D&amp;R&amp;8&amp;Z&amp;F</oddFooter>
      </headerFooter>
    </customSheetView>
    <customSheetView guid="{C758BCB7-A66F-4816-80B2-6959FA24FF89}" showPageBreaks="1" fitToPage="1" printArea="1" hiddenRows="1" view="pageBreakPreview">
      <pane xSplit="2" ySplit="8" topLeftCell="C10" activePane="bottomRight" state="frozen"/>
      <selection pane="bottomRight" activeCell="B22" sqref="B22"/>
      <rowBreaks count="1" manualBreakCount="1">
        <brk id="57" max="9" man="1"/>
      </rowBreaks>
      <pageMargins left="0.7" right="0.7" top="0.75" bottom="0.75" header="0.3" footer="0.3"/>
      <pageSetup scale="68" orientation="landscape" horizontalDpi="4294967295" verticalDpi="4294967295" r:id="rId17"/>
      <headerFooter>
        <oddHeader>&amp;R&amp;"-,Bold"&amp;28DRAFT</oddHeader>
        <oddFooter>&amp;LPrinted &amp;D&amp;R&amp;8&amp;Z&amp;F</oddFooter>
      </headerFooter>
    </customSheetView>
  </customSheetViews>
  <mergeCells count="42">
    <mergeCell ref="O3:P3"/>
    <mergeCell ref="O4:P4"/>
    <mergeCell ref="O5:P5"/>
    <mergeCell ref="C9:D9"/>
    <mergeCell ref="E9:F9"/>
    <mergeCell ref="K9:L9"/>
    <mergeCell ref="G9:H9"/>
    <mergeCell ref="M9:N9"/>
    <mergeCell ref="O9:P9"/>
    <mergeCell ref="O7:P7"/>
    <mergeCell ref="O8:P8"/>
    <mergeCell ref="M7:N7"/>
    <mergeCell ref="M8:N8"/>
    <mergeCell ref="K3:L3"/>
    <mergeCell ref="K4:L4"/>
    <mergeCell ref="K5:L5"/>
    <mergeCell ref="M3:N3"/>
    <mergeCell ref="M4:N4"/>
    <mergeCell ref="M5:N5"/>
    <mergeCell ref="G3:H3"/>
    <mergeCell ref="G4:H4"/>
    <mergeCell ref="G5:H5"/>
    <mergeCell ref="C3:D3"/>
    <mergeCell ref="C4:D4"/>
    <mergeCell ref="C5:D5"/>
    <mergeCell ref="E3:F3"/>
    <mergeCell ref="E4:F4"/>
    <mergeCell ref="E5:F5"/>
    <mergeCell ref="K8:L8"/>
    <mergeCell ref="K7:L7"/>
    <mergeCell ref="C7:D7"/>
    <mergeCell ref="E7:F7"/>
    <mergeCell ref="G8:H8"/>
    <mergeCell ref="G7:H7"/>
    <mergeCell ref="C8:D8"/>
    <mergeCell ref="E8:F8"/>
    <mergeCell ref="I9:J9"/>
    <mergeCell ref="I3:J3"/>
    <mergeCell ref="I4:J4"/>
    <mergeCell ref="I5:J5"/>
    <mergeCell ref="I7:J7"/>
    <mergeCell ref="I8:J8"/>
  </mergeCells>
  <printOptions horizontalCentered="1"/>
  <pageMargins left="0.7" right="0.7" top="0.75" bottom="0.75" header="0.3" footer="0.3"/>
  <pageSetup scale="68" orientation="landscape" r:id="rId18"/>
  <headerFooter>
    <oddHeader>&amp;C&amp;16Attachment D: Summary Tables of Affordable Housing Outcomes Under Various Development Scenarios</oddHeader>
  </headerFooter>
  <rowBreaks count="1" manualBreakCount="1">
    <brk id="5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workbookViewId="0">
      <selection sqref="A1:XFD1048576"/>
    </sheetView>
  </sheetViews>
  <sheetFormatPr defaultRowHeight="15"/>
  <cols>
    <col min="2" max="2" width="52.28515625" bestFit="1" customWidth="1"/>
    <col min="3" max="6" width="12.85546875" bestFit="1" customWidth="1"/>
    <col min="8" max="8" width="9.85546875" bestFit="1" customWidth="1"/>
  </cols>
  <sheetData>
    <row r="1" spans="2:8">
      <c r="B1" s="775"/>
      <c r="C1" s="775" t="s">
        <v>698</v>
      </c>
      <c r="D1" s="775" t="s">
        <v>696</v>
      </c>
      <c r="E1" s="775" t="s">
        <v>698</v>
      </c>
      <c r="F1" s="775" t="s">
        <v>701</v>
      </c>
    </row>
    <row r="2" spans="2:8">
      <c r="B2" s="827"/>
      <c r="C2" s="827" t="s">
        <v>699</v>
      </c>
      <c r="D2" s="827" t="s">
        <v>633</v>
      </c>
      <c r="E2" s="827" t="s">
        <v>699</v>
      </c>
      <c r="F2" s="827" t="s">
        <v>681</v>
      </c>
    </row>
    <row r="3" spans="2:8">
      <c r="B3" s="776"/>
      <c r="C3" s="779" t="s">
        <v>697</v>
      </c>
      <c r="D3" s="779" t="s">
        <v>697</v>
      </c>
      <c r="E3" s="779" t="s">
        <v>700</v>
      </c>
      <c r="F3" s="779" t="s">
        <v>702</v>
      </c>
    </row>
    <row r="4" spans="2:8">
      <c r="B4" s="787" t="s">
        <v>682</v>
      </c>
      <c r="C4" s="788">
        <v>6</v>
      </c>
      <c r="D4" s="788">
        <v>14</v>
      </c>
      <c r="E4" s="788">
        <v>8</v>
      </c>
      <c r="F4" s="788">
        <v>18</v>
      </c>
    </row>
    <row r="5" spans="2:8" s="4" customFormat="1">
      <c r="B5" s="787" t="s">
        <v>684</v>
      </c>
      <c r="C5" s="788">
        <v>12</v>
      </c>
      <c r="D5" s="788">
        <v>0</v>
      </c>
      <c r="E5" s="788">
        <v>10</v>
      </c>
      <c r="F5" s="788">
        <v>0</v>
      </c>
    </row>
    <row r="6" spans="2:8" ht="15.75" customHeight="1">
      <c r="B6" s="787" t="s">
        <v>676</v>
      </c>
      <c r="C6" s="788">
        <v>0</v>
      </c>
      <c r="D6" s="788">
        <v>1</v>
      </c>
      <c r="E6" s="788">
        <f>F6</f>
        <v>0</v>
      </c>
      <c r="F6" s="788">
        <v>0</v>
      </c>
    </row>
    <row r="7" spans="2:8">
      <c r="B7" s="787" t="s">
        <v>678</v>
      </c>
      <c r="C7" s="788">
        <v>2</v>
      </c>
      <c r="D7" s="788">
        <v>5</v>
      </c>
      <c r="E7" s="788">
        <f>F7</f>
        <v>2</v>
      </c>
      <c r="F7" s="788">
        <v>2</v>
      </c>
    </row>
    <row r="8" spans="2:8">
      <c r="B8" s="773" t="s">
        <v>634</v>
      </c>
      <c r="C8" s="789">
        <f>Summary!$I12</f>
        <v>24067576.399999999</v>
      </c>
      <c r="D8" s="789">
        <f>Summary!$K12</f>
        <v>51221705</v>
      </c>
      <c r="E8" s="789">
        <f>Summary!$M12</f>
        <v>24067576.399999999</v>
      </c>
      <c r="F8" s="789">
        <f>Summary!$O12</f>
        <v>5915276</v>
      </c>
    </row>
    <row r="9" spans="2:8">
      <c r="B9" s="774" t="s">
        <v>635</v>
      </c>
      <c r="C9" s="789">
        <f>Summary!$I28</f>
        <v>0</v>
      </c>
      <c r="D9" s="789">
        <f>Summary!$K28</f>
        <v>25854853</v>
      </c>
      <c r="E9" s="789">
        <f>Summary!$M28</f>
        <v>0</v>
      </c>
      <c r="F9" s="789">
        <f>Summary!$O28</f>
        <v>2957638</v>
      </c>
      <c r="H9" s="785"/>
    </row>
    <row r="10" spans="2:8" s="4" customFormat="1">
      <c r="B10" s="774" t="s">
        <v>471</v>
      </c>
      <c r="C10" s="789" t="str">
        <f>Summary!$I45</f>
        <v>TBD</v>
      </c>
      <c r="D10" s="789">
        <f>Summary!$K45</f>
        <v>95775465.729235187</v>
      </c>
      <c r="E10" s="789" t="str">
        <f>Summary!$M45</f>
        <v>TBD</v>
      </c>
      <c r="F10" s="789">
        <f>Summary!$O45</f>
        <v>6924919.7750105308</v>
      </c>
      <c r="G10" s="781"/>
    </row>
    <row r="11" spans="2:8" s="4" customFormat="1">
      <c r="B11" s="774" t="s">
        <v>636</v>
      </c>
      <c r="C11" s="789">
        <f>Summary!$I18</f>
        <v>33756014.200000003</v>
      </c>
      <c r="D11" s="789">
        <f>Summary!$K18</f>
        <v>43992898</v>
      </c>
      <c r="E11" s="789">
        <f>Summary!$M18</f>
        <v>33756014.200000003</v>
      </c>
      <c r="F11" s="789">
        <f>Summary!$O18</f>
        <v>4454206</v>
      </c>
    </row>
    <row r="12" spans="2:8" s="4" customFormat="1">
      <c r="B12" s="773" t="s">
        <v>637</v>
      </c>
      <c r="C12" s="790">
        <f>Summary!$I42</f>
        <v>1077</v>
      </c>
      <c r="D12" s="790">
        <f>Summary!$K42</f>
        <v>1238</v>
      </c>
      <c r="E12" s="790">
        <f>Summary!$M42</f>
        <v>1077</v>
      </c>
      <c r="F12" s="790">
        <f>Summary!$O42</f>
        <v>1080</v>
      </c>
      <c r="G12" s="782"/>
    </row>
    <row r="13" spans="2:8">
      <c r="B13" s="774" t="s">
        <v>332</v>
      </c>
      <c r="C13" s="790">
        <f>Summary!$I33</f>
        <v>430</v>
      </c>
      <c r="D13" s="790">
        <f>Summary!$K33</f>
        <v>492</v>
      </c>
      <c r="E13" s="790">
        <f>Summary!$M33</f>
        <v>322</v>
      </c>
      <c r="F13" s="790">
        <f>Summary!$O33</f>
        <v>0</v>
      </c>
      <c r="G13" s="233"/>
    </row>
    <row r="14" spans="2:8">
      <c r="B14" s="774" t="s">
        <v>286</v>
      </c>
      <c r="C14" s="790">
        <f>Summary!$I40</f>
        <v>647</v>
      </c>
      <c r="D14" s="790">
        <f>Summary!$K40</f>
        <v>746</v>
      </c>
      <c r="E14" s="790">
        <f>Summary!$M40</f>
        <v>755</v>
      </c>
      <c r="F14" s="790">
        <f>Summary!$O40</f>
        <v>1080</v>
      </c>
    </row>
    <row r="15" spans="2:8">
      <c r="B15" s="774" t="s">
        <v>369</v>
      </c>
      <c r="C15" s="791">
        <f>C14/C12</f>
        <v>0.60074280408542247</v>
      </c>
      <c r="D15" s="791">
        <f>D14/D12</f>
        <v>0.60258481421647814</v>
      </c>
      <c r="E15" s="791">
        <f>E14/E12</f>
        <v>0.70102135561745593</v>
      </c>
      <c r="F15" s="791">
        <f>F14/F12</f>
        <v>1</v>
      </c>
      <c r="H15" s="320"/>
    </row>
    <row r="16" spans="2:8">
      <c r="B16" s="784" t="s">
        <v>677</v>
      </c>
      <c r="C16" s="790">
        <f>'Guillen-Kaplan_60%'!I37</f>
        <v>294428</v>
      </c>
      <c r="D16" s="790">
        <f>'Staff Strategy'!I37</f>
        <v>1420341</v>
      </c>
      <c r="E16" s="790">
        <f>'Guillen-Kaplan'!I37</f>
        <v>294428</v>
      </c>
      <c r="F16" s="790">
        <f>'CWN June'!I35</f>
        <v>294428</v>
      </c>
    </row>
    <row r="17" spans="2:6">
      <c r="B17" s="777" t="s">
        <v>672</v>
      </c>
      <c r="C17" s="792">
        <f>Summary!$I23</f>
        <v>-32764814.399999999</v>
      </c>
      <c r="D17" s="792">
        <f>Summary!$K23</f>
        <v>-31914094</v>
      </c>
      <c r="E17" s="792">
        <f>Summary!$M23</f>
        <v>-45270081.799999997</v>
      </c>
      <c r="F17" s="792">
        <f>Summary!$O23</f>
        <v>-115097554</v>
      </c>
    </row>
    <row r="18" spans="2:6">
      <c r="B18" s="778" t="s">
        <v>632</v>
      </c>
      <c r="C18" s="828" t="s">
        <v>673</v>
      </c>
      <c r="D18" s="828" t="s">
        <v>673</v>
      </c>
      <c r="E18" s="828" t="s">
        <v>683</v>
      </c>
      <c r="F18" s="828" t="s">
        <v>674</v>
      </c>
    </row>
    <row r="19" spans="2:6">
      <c r="B19" s="797" t="str">
        <f>Summary!$A$30</f>
        <v>Total Net City Fund Impact (AHTF + Other)</v>
      </c>
      <c r="C19" s="796">
        <f>Summary!$I30</f>
        <v>-32764814.399999999</v>
      </c>
      <c r="D19" s="796">
        <f>Summary!$K30</f>
        <v>-6059241</v>
      </c>
      <c r="E19" s="796">
        <f>Summary!$M30</f>
        <v>-45270081.799999997</v>
      </c>
      <c r="F19" s="796">
        <f>Summary!$O30</f>
        <v>-112139916</v>
      </c>
    </row>
    <row r="24" spans="2:6">
      <c r="B24" s="372"/>
      <c r="C24" s="372"/>
      <c r="E24" s="372"/>
      <c r="F24" s="372"/>
    </row>
    <row r="30" spans="2:6">
      <c r="D30" s="783"/>
    </row>
  </sheetData>
  <sheetProtection algorithmName="SHA-512" hashValue="YXdJX5KW+dLegUkf4/gMoaDIR+w2nkti+mRnog4dMFFwaGuwFw0DP6Hem5UZsiEQLPy73lm2fonfX/qnOFG8Qw==" saltValue="N1Bf/c/wlpvIEt8KX93dMw==" spinCount="100000" sheet="1" objects="1" scenarios="1"/>
  <customSheetViews>
    <customSheetView guid="{12DF92E2-F0A4-4522-953F-2BCAD962F9B1}" hiddenRows="1">
      <selection activeCell="H3" sqref="H3:H14"/>
      <pageMargins left="0.7" right="0.7" top="0.75" bottom="0.75" header="0.3" footer="0.3"/>
      <pageSetup orientation="landscape" r:id="rId1"/>
    </customSheetView>
    <customSheetView guid="{CDF0923A-CEB9-47A0-BB71-B372AD18A6C5}" hiddenRows="1">
      <selection activeCell="C26" sqref="C26"/>
      <pageMargins left="0.7" right="0.7" top="0.75" bottom="0.75" header="0.3" footer="0.3"/>
      <pageSetup orientation="landscape" r:id="rId2"/>
    </customSheetView>
    <customSheetView guid="{1CB7F20C-5BCB-4F31-A665-EF07F93D0225}" hiddenRows="1">
      <selection activeCell="C26" sqref="C26"/>
      <pageMargins left="0.7" right="0.7" top="0.75" bottom="0.75" header="0.3" footer="0.3"/>
      <pageSetup orientation="landscape" r:id="rId3"/>
    </customSheetView>
    <customSheetView guid="{A3C5269A-712A-445D-A52D-32C4B0B08868}" hiddenRows="1">
      <selection activeCell="C26" sqref="C26"/>
      <pageMargins left="0.7" right="0.7" top="0.75" bottom="0.75" header="0.3" footer="0.3"/>
      <pageSetup orientation="landscape" r:id="rId4"/>
    </customSheetView>
    <customSheetView guid="{D2801948-3667-42F1-A855-2C3A7F5D75C1}" hiddenRows="1">
      <selection activeCell="C26" sqref="C26"/>
      <pageMargins left="0.7" right="0.7" top="0.75" bottom="0.75" header="0.3" footer="0.3"/>
      <pageSetup orientation="landscape" r:id="rId5"/>
    </customSheetView>
    <customSheetView guid="{6B8B0E6B-B6D7-44A4-A1E7-F92938C31FF1}" hiddenRows="1">
      <selection activeCell="C26" sqref="C26"/>
      <pageMargins left="0.7" right="0.7" top="0.75" bottom="0.75" header="0.3" footer="0.3"/>
      <pageSetup orientation="landscape" r:id="rId6"/>
    </customSheetView>
    <customSheetView guid="{E6F23B71-2871-41D0-8B3E-C5A92D17DA9C}" hiddenRows="1">
      <selection activeCell="C26" sqref="C26"/>
      <pageMargins left="0.7" right="0.7" top="0.75" bottom="0.75" header="0.3" footer="0.3"/>
      <pageSetup orientation="landscape" r:id="rId7"/>
    </customSheetView>
    <customSheetView guid="{105E85B8-9A7A-4110-9634-CB22952476CC}" topLeftCell="A4">
      <selection activeCell="B13" sqref="B13"/>
      <pageMargins left="0.7" right="0.7" top="0.75" bottom="0.75" header="0.3" footer="0.3"/>
    </customSheetView>
    <customSheetView guid="{3D995FFA-456E-4A0A-AF78-CD5180B1C163}" hiddenRows="1">
      <selection activeCell="C26" sqref="C26"/>
      <pageMargins left="0.7" right="0.7" top="0.75" bottom="0.75" header="0.3" footer="0.3"/>
      <pageSetup orientation="landscape" r:id="rId8"/>
    </customSheetView>
    <customSheetView guid="{F7AAF2C2-30F8-4A4D-9DCA-2CE431E237EF}" hiddenRows="1">
      <selection activeCell="C26" sqref="C26"/>
      <pageMargins left="0.7" right="0.7" top="0.75" bottom="0.75" header="0.3" footer="0.3"/>
      <pageSetup orientation="landscape" r:id="rId9"/>
    </customSheetView>
    <customSheetView guid="{CF016ED8-8B91-4622-8F1B-C12FD046BBA3}" hiddenRows="1">
      <selection activeCell="C26" sqref="C26"/>
      <pageMargins left="0.7" right="0.7" top="0.75" bottom="0.75" header="0.3" footer="0.3"/>
      <pageSetup orientation="landscape" r:id="rId10"/>
    </customSheetView>
    <customSheetView guid="{A948BEAA-C943-439F-A074-9FFD96C20787}" hiddenRows="1">
      <selection activeCell="C26" sqref="C26"/>
      <pageMargins left="0.7" right="0.7" top="0.75" bottom="0.75" header="0.3" footer="0.3"/>
      <pageSetup orientation="landscape" r:id="rId11"/>
    </customSheetView>
    <customSheetView guid="{F15FCE5B-4793-4E19-BCC1-0B2A44E18C59}" hiddenRows="1">
      <selection activeCell="C26" sqref="C26"/>
      <pageMargins left="0.7" right="0.7" top="0.75" bottom="0.75" header="0.3" footer="0.3"/>
      <pageSetup orientation="landscape" r:id="rId12"/>
    </customSheetView>
    <customSheetView guid="{C758BCB7-A66F-4816-80B2-6959FA24FF89}" hiddenRows="1">
      <selection activeCell="C26" sqref="C26"/>
      <pageMargins left="0.7" right="0.7" top="0.75" bottom="0.75" header="0.3" footer="0.3"/>
      <pageSetup orientation="landscape" r:id="rId13"/>
    </customSheetView>
  </customSheetViews>
  <pageMargins left="0.7" right="0.7" top="0.75" bottom="0.75" header="0.3" footer="0.3"/>
  <pageSetup orientation="landscape"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OT28"/>
  <sheetViews>
    <sheetView zoomScaleNormal="100" zoomScaleSheetLayoutView="80" workbookViewId="0">
      <pane xSplit="2" ySplit="4" topLeftCell="EB6" activePane="bottomRight" state="frozen"/>
      <selection pane="topRight" activeCell="C1" sqref="C1"/>
      <selection pane="bottomLeft" activeCell="A5" sqref="A5"/>
      <selection pane="bottomRight" activeCell="EB1" sqref="EB1"/>
    </sheetView>
  </sheetViews>
  <sheetFormatPr defaultColWidth="9.140625" defaultRowHeight="15"/>
  <cols>
    <col min="1" max="1" width="23.140625" style="2" customWidth="1"/>
    <col min="2" max="2" width="33.42578125" style="278" customWidth="1"/>
    <col min="3" max="3" width="66.140625" style="1" customWidth="1"/>
    <col min="4" max="4" width="10.42578125" style="1" customWidth="1"/>
    <col min="5" max="6" width="21.42578125" style="1" customWidth="1"/>
    <col min="7" max="7" width="17.5703125" style="15" customWidth="1"/>
    <col min="8" max="8" width="11" style="15" customWidth="1"/>
    <col min="9" max="15" width="11" style="1" customWidth="1"/>
    <col min="16" max="19" width="8.85546875" style="3" customWidth="1"/>
    <col min="20" max="20" width="13.7109375" style="3" customWidth="1"/>
    <col min="21" max="21" width="8.85546875" style="3" customWidth="1"/>
    <col min="22" max="22" width="57.140625" style="1" customWidth="1"/>
    <col min="23" max="23" width="27.140625" style="1" customWidth="1"/>
    <col min="24" max="24" width="65" style="1" customWidth="1"/>
    <col min="25" max="25" width="22.42578125" style="1" customWidth="1"/>
    <col min="26" max="26" width="17" style="277" customWidth="1"/>
    <col min="27" max="29" width="12.7109375" style="502" customWidth="1"/>
    <col min="30" max="30" width="17.42578125" style="502" customWidth="1"/>
    <col min="31" max="32" width="18.28515625" style="12" customWidth="1"/>
    <col min="33" max="34" width="23" style="12" customWidth="1"/>
    <col min="35" max="35" width="10.140625" style="12" customWidth="1"/>
    <col min="36" max="39" width="16.42578125" style="12" customWidth="1"/>
    <col min="40" max="40" width="9.5703125" style="12" customWidth="1"/>
    <col min="41" max="42" width="17.7109375" style="12" customWidth="1"/>
    <col min="43" max="43" width="11.140625" style="12" customWidth="1"/>
    <col min="44" max="44" width="18.42578125" style="12" customWidth="1"/>
    <col min="45" max="46" width="11.140625" style="12" customWidth="1"/>
    <col min="47" max="47" width="11.140625" style="499" customWidth="1"/>
    <col min="48" max="49" width="15" style="12" customWidth="1"/>
    <col min="50" max="52" width="16.42578125" style="12" customWidth="1"/>
    <col min="53" max="54" width="17.7109375" style="12" customWidth="1"/>
    <col min="55" max="57" width="11" style="500" customWidth="1"/>
    <col min="58" max="58" width="19" style="12" customWidth="1"/>
    <col min="59" max="65" width="20.42578125" style="12" customWidth="1"/>
    <col min="66" max="68" width="11.140625" style="12" customWidth="1"/>
    <col min="69" max="72" width="11.140625" style="501" customWidth="1"/>
    <col min="73" max="73" width="1.7109375" style="9" customWidth="1"/>
    <col min="74" max="75" width="11.140625" style="501" customWidth="1"/>
    <col min="76" max="76" width="18.5703125" style="12" customWidth="1"/>
    <col min="77" max="77" width="22" style="12" customWidth="1"/>
    <col min="78" max="78" width="20.85546875" style="12" customWidth="1"/>
    <col min="79" max="79" width="16" style="12" customWidth="1"/>
    <col min="80" max="80" width="16.85546875" style="12" customWidth="1"/>
    <col min="81" max="82" width="23.140625" style="12" customWidth="1"/>
    <col min="83" max="83" width="12.28515625" style="12" customWidth="1"/>
    <col min="84" max="85" width="14.42578125" style="12" customWidth="1"/>
    <col min="86" max="86" width="14.140625" style="12" customWidth="1"/>
    <col min="87" max="87" width="6.5703125" style="12" customWidth="1"/>
    <col min="88" max="88" width="14.42578125" style="12" customWidth="1"/>
    <col min="89" max="96" width="20.42578125" style="12" customWidth="1"/>
    <col min="97" max="98" width="11.140625" style="12" customWidth="1"/>
    <col min="99" max="99" width="13.85546875" style="12" customWidth="1"/>
    <col min="100" max="103" width="11.140625" style="501" customWidth="1"/>
    <col min="104" max="104" width="1.7109375" style="9" customWidth="1"/>
    <col min="105" max="106" width="11.140625" style="501" customWidth="1"/>
    <col min="107" max="107" width="18.5703125" style="501" customWidth="1"/>
    <col min="108" max="110" width="23.140625" style="501" customWidth="1"/>
    <col min="111" max="114" width="15" style="501" customWidth="1"/>
    <col min="115" max="115" width="23.140625" style="501" customWidth="1"/>
    <col min="116" max="117" width="20.42578125" style="501" customWidth="1"/>
    <col min="118" max="118" width="23.140625" style="501" customWidth="1"/>
    <col min="119" max="120" width="13.28515625" style="501" customWidth="1"/>
    <col min="121" max="121" width="15.28515625" style="501" bestFit="1" customWidth="1"/>
    <col min="122" max="122" width="14.140625" style="501" customWidth="1"/>
    <col min="123" max="123" width="6.5703125" style="501" customWidth="1"/>
    <col min="124" max="124" width="14.42578125" style="501" customWidth="1"/>
    <col min="125" max="130" width="20.42578125" style="501" customWidth="1"/>
    <col min="131" max="132" width="11.140625" style="12" customWidth="1"/>
    <col min="133" max="133" width="13.85546875" style="12" customWidth="1"/>
    <col min="134" max="137" width="11.140625" style="501" customWidth="1"/>
    <col min="138" max="138" width="1.7109375" style="9" customWidth="1"/>
    <col min="139" max="140" width="11.140625" style="501" customWidth="1"/>
    <col min="141" max="141" width="18.5703125" style="501" customWidth="1"/>
    <col min="142" max="144" width="23.140625" style="501" customWidth="1"/>
    <col min="145" max="148" width="15" style="501" customWidth="1"/>
    <col min="149" max="149" width="23.140625" style="501" customWidth="1"/>
    <col min="150" max="151" width="20.42578125" style="501" customWidth="1"/>
    <col min="152" max="152" width="23.140625" style="501" customWidth="1"/>
    <col min="153" max="154" width="13.28515625" style="501" customWidth="1"/>
    <col min="155" max="155" width="15.28515625" style="501" bestFit="1" customWidth="1"/>
    <col min="156" max="156" width="14.140625" style="501" customWidth="1"/>
    <col min="157" max="157" width="6.5703125" style="501" customWidth="1"/>
    <col min="158" max="158" width="14.42578125" style="501" customWidth="1"/>
    <col min="159" max="164" width="20.42578125" style="501" customWidth="1"/>
    <col min="165" max="167" width="11.140625" style="12" customWidth="1"/>
    <col min="168" max="168" width="13.85546875" style="12" customWidth="1"/>
    <col min="169" max="172" width="11.140625" style="501" customWidth="1"/>
    <col min="173" max="173" width="1.7109375" style="9" customWidth="1"/>
    <col min="174" max="175" width="11.140625" style="501" customWidth="1"/>
    <col min="176" max="176" width="18.5703125" style="501" customWidth="1"/>
    <col min="177" max="179" width="23.140625" style="501" customWidth="1"/>
    <col min="180" max="181" width="15" style="501" customWidth="1"/>
    <col min="182" max="182" width="23.140625" style="501" customWidth="1"/>
    <col min="183" max="184" width="13.28515625" style="501" customWidth="1"/>
    <col min="185" max="185" width="15.28515625" style="501" bestFit="1" customWidth="1"/>
    <col min="186" max="186" width="14.140625" style="501" customWidth="1"/>
    <col min="187" max="187" width="6.5703125" style="501" customWidth="1"/>
    <col min="188" max="188" width="14.42578125" style="501" customWidth="1"/>
    <col min="189" max="196" width="20.42578125" style="501" customWidth="1"/>
    <col min="197" max="199" width="11.140625" style="12" customWidth="1"/>
    <col min="200" max="203" width="11.140625" style="501" customWidth="1"/>
    <col min="204" max="204" width="1.7109375" style="9" customWidth="1"/>
    <col min="205" max="206" width="11.140625" style="501" customWidth="1"/>
    <col min="207" max="207" width="18.28515625" style="501" customWidth="1"/>
    <col min="208" max="208" width="23.140625" style="501" customWidth="1"/>
    <col min="209" max="211" width="20.42578125" style="501" customWidth="1"/>
    <col min="212" max="213" width="13.28515625" style="501" customWidth="1"/>
    <col min="214" max="214" width="15" style="501" customWidth="1"/>
    <col min="215" max="215" width="14.140625" style="501" customWidth="1"/>
    <col min="216" max="216" width="6.5703125" style="501" customWidth="1"/>
    <col min="217" max="217" width="14.42578125" style="501" customWidth="1"/>
    <col min="218" max="223" width="20.42578125" style="501" customWidth="1"/>
    <col min="224" max="224" width="12.7109375" style="5" customWidth="1"/>
    <col min="225" max="225" width="15.28515625" style="265" bestFit="1" customWidth="1"/>
    <col min="226" max="226" width="12.7109375" style="265" bestFit="1" customWidth="1"/>
    <col min="227" max="227" width="10.28515625" style="265" bestFit="1" customWidth="1"/>
    <col min="228" max="228" width="11.42578125" style="265" bestFit="1" customWidth="1"/>
    <col min="229" max="229" width="12" style="265" bestFit="1" customWidth="1"/>
    <col min="230" max="230" width="12.140625" style="265" bestFit="1" customWidth="1"/>
    <col min="231" max="231" width="7.85546875" style="265" bestFit="1" customWidth="1"/>
    <col min="232" max="232" width="12.85546875" style="265" bestFit="1" customWidth="1"/>
    <col min="233" max="233" width="10.28515625" style="265" bestFit="1" customWidth="1"/>
    <col min="234" max="234" width="12.7109375" style="265" bestFit="1" customWidth="1"/>
    <col min="235" max="236" width="10.28515625" style="265" bestFit="1" customWidth="1"/>
    <col min="237" max="237" width="11.7109375" style="265" bestFit="1" customWidth="1"/>
    <col min="238" max="238" width="10.85546875" style="265" bestFit="1" customWidth="1"/>
    <col min="239" max="239" width="10.28515625" style="265" bestFit="1" customWidth="1"/>
    <col min="240" max="240" width="12.85546875" style="265" bestFit="1" customWidth="1"/>
    <col min="241" max="241" width="13.140625" style="265" bestFit="1" customWidth="1"/>
    <col min="242" max="242" width="12.85546875" style="265" bestFit="1" customWidth="1"/>
    <col min="243" max="243" width="13.85546875" style="265" bestFit="1" customWidth="1"/>
    <col min="244" max="244" width="11.5703125" style="265" bestFit="1" customWidth="1"/>
    <col min="245" max="245" width="16.5703125" style="265" bestFit="1" customWidth="1"/>
    <col min="246" max="246" width="11" style="265" bestFit="1" customWidth="1"/>
    <col min="247" max="247" width="12.7109375" style="265" bestFit="1" customWidth="1"/>
    <col min="248" max="248" width="13.28515625" style="265" customWidth="1"/>
    <col min="249" max="249" width="12.140625" style="265" bestFit="1" customWidth="1"/>
    <col min="250" max="250" width="13.7109375" style="265" bestFit="1" customWidth="1"/>
    <col min="251" max="251" width="15.140625" style="265" bestFit="1" customWidth="1"/>
    <col min="252" max="252" width="9.5703125" style="265" bestFit="1" customWidth="1"/>
    <col min="253" max="253" width="6" style="265" bestFit="1" customWidth="1"/>
    <col min="254" max="255" width="10" style="265" bestFit="1" customWidth="1"/>
    <col min="256" max="264" width="11.5703125" style="265" bestFit="1" customWidth="1"/>
    <col min="265" max="283" width="12.7109375" style="265" bestFit="1" customWidth="1"/>
    <col min="284" max="284" width="12.7109375" style="265" customWidth="1"/>
    <col min="285" max="286" width="13" style="265" bestFit="1" customWidth="1"/>
    <col min="287" max="287" width="12" style="265" bestFit="1" customWidth="1"/>
    <col min="288" max="288" width="9.5703125" style="265" bestFit="1" customWidth="1"/>
    <col min="289" max="289" width="7.85546875" style="265" bestFit="1" customWidth="1"/>
    <col min="290" max="290" width="16" style="265" bestFit="1" customWidth="1"/>
    <col min="291" max="291" width="12.85546875" style="265" bestFit="1" customWidth="1"/>
    <col min="292" max="292" width="13.42578125" style="265" bestFit="1" customWidth="1"/>
    <col min="293" max="294" width="10.28515625" style="265" bestFit="1" customWidth="1"/>
    <col min="295" max="295" width="11.7109375" style="265" bestFit="1" customWidth="1"/>
    <col min="296" max="296" width="10.85546875" style="265" bestFit="1" customWidth="1"/>
    <col min="297" max="297" width="10.28515625" style="265" bestFit="1" customWidth="1"/>
    <col min="298" max="298" width="15.5703125" style="265" bestFit="1" customWidth="1"/>
    <col min="299" max="302" width="11.5703125" style="265" bestFit="1" customWidth="1"/>
    <col min="303" max="303" width="12.7109375" style="265" bestFit="1" customWidth="1"/>
    <col min="304" max="304" width="11" style="265" bestFit="1" customWidth="1"/>
    <col min="305" max="305" width="12.7109375" style="265" bestFit="1" customWidth="1"/>
    <col min="306" max="306" width="13" style="265" bestFit="1" customWidth="1"/>
    <col min="307" max="307" width="10.85546875" style="265" bestFit="1" customWidth="1"/>
    <col min="308" max="308" width="13.7109375" style="265" bestFit="1" customWidth="1"/>
    <col min="309" max="309" width="15.140625" style="265" bestFit="1" customWidth="1"/>
    <col min="310" max="310" width="9.5703125" style="265" bestFit="1" customWidth="1"/>
    <col min="311" max="311" width="6" style="265" bestFit="1" customWidth="1"/>
    <col min="312" max="313" width="10" style="265" bestFit="1" customWidth="1"/>
    <col min="314" max="318" width="11.5703125" style="265" bestFit="1" customWidth="1"/>
    <col min="319" max="323" width="13.140625" style="265" bestFit="1" customWidth="1"/>
    <col min="324" max="327" width="14.42578125" style="265" bestFit="1" customWidth="1"/>
    <col min="328" max="341" width="12.7109375" style="265" bestFit="1" customWidth="1"/>
    <col min="342" max="342" width="12.7109375" style="265" customWidth="1"/>
    <col min="343" max="343" width="12" style="265" bestFit="1" customWidth="1"/>
    <col min="344" max="344" width="9.5703125" style="265" bestFit="1" customWidth="1"/>
    <col min="345" max="345" width="7.85546875" style="265" bestFit="1" customWidth="1"/>
    <col min="346" max="346" width="16" style="265" bestFit="1" customWidth="1"/>
    <col min="347" max="347" width="12.85546875" style="265" bestFit="1" customWidth="1"/>
    <col min="348" max="349" width="10.28515625" style="265" bestFit="1" customWidth="1"/>
    <col min="350" max="350" width="11.7109375" style="265" bestFit="1" customWidth="1"/>
    <col min="351" max="351" width="10.85546875" style="265" bestFit="1" customWidth="1"/>
    <col min="352" max="352" width="10.28515625" style="265" bestFit="1" customWidth="1"/>
    <col min="353" max="353" width="12.7109375" style="265" customWidth="1"/>
    <col min="354" max="354" width="11.5703125" style="265" bestFit="1" customWidth="1"/>
    <col min="355" max="355" width="13" style="265" bestFit="1" customWidth="1"/>
    <col min="356" max="356" width="12" style="265" bestFit="1" customWidth="1"/>
    <col min="357" max="357" width="9.5703125" style="265" bestFit="1" customWidth="1"/>
    <col min="358" max="358" width="7.85546875" style="265" bestFit="1" customWidth="1"/>
    <col min="359" max="359" width="16" style="265" bestFit="1" customWidth="1"/>
    <col min="360" max="360" width="12.85546875" style="265" bestFit="1" customWidth="1"/>
    <col min="361" max="361" width="13.42578125" style="265" bestFit="1" customWidth="1"/>
    <col min="362" max="363" width="10.28515625" style="265" bestFit="1" customWidth="1"/>
    <col min="364" max="364" width="11.7109375" style="265" bestFit="1" customWidth="1"/>
    <col min="365" max="365" width="10.85546875" style="265" bestFit="1" customWidth="1"/>
    <col min="366" max="366" width="10.28515625" style="265" bestFit="1" customWidth="1"/>
    <col min="367" max="367" width="15.5703125" style="265" bestFit="1" customWidth="1"/>
    <col min="368" max="368" width="11.5703125" style="265" bestFit="1" customWidth="1"/>
    <col min="369" max="369" width="12.85546875" style="265" bestFit="1" customWidth="1"/>
    <col min="370" max="370" width="13.85546875" style="265" bestFit="1" customWidth="1"/>
    <col min="371" max="371" width="11.5703125" style="265" bestFit="1" customWidth="1"/>
    <col min="372" max="372" width="12.7109375" style="265" bestFit="1" customWidth="1"/>
    <col min="373" max="373" width="11" style="265" bestFit="1" customWidth="1"/>
    <col min="374" max="374" width="12.7109375" style="265" bestFit="1" customWidth="1"/>
    <col min="375" max="375" width="13" style="265" bestFit="1" customWidth="1"/>
    <col min="376" max="376" width="10.85546875" style="265" bestFit="1" customWidth="1"/>
    <col min="377" max="377" width="12.7109375" style="265" bestFit="1" customWidth="1"/>
    <col min="378" max="378" width="15.140625" style="265" bestFit="1" customWidth="1"/>
    <col min="379" max="379" width="9.5703125" style="265" bestFit="1" customWidth="1"/>
    <col min="380" max="380" width="6" style="265" bestFit="1" customWidth="1"/>
    <col min="381" max="382" width="10" style="265" bestFit="1" customWidth="1"/>
    <col min="383" max="410" width="11.5703125" style="265" bestFit="1" customWidth="1"/>
    <col min="411" max="16384" width="9.140625" style="265"/>
  </cols>
  <sheetData>
    <row r="1" spans="1:410" s="4" customFormat="1">
      <c r="A1" s="242"/>
      <c r="B1" s="316"/>
      <c r="C1" s="317"/>
      <c r="D1" s="317"/>
      <c r="E1" s="317"/>
      <c r="F1" s="317"/>
      <c r="G1" s="318"/>
      <c r="H1" s="318"/>
      <c r="I1" s="317"/>
      <c r="J1" s="317"/>
      <c r="K1" s="317"/>
      <c r="L1" s="317"/>
      <c r="M1" s="317"/>
      <c r="N1" s="317"/>
      <c r="O1" s="317"/>
      <c r="P1" s="319"/>
      <c r="Q1" s="319"/>
      <c r="R1" s="319"/>
      <c r="S1" s="319"/>
      <c r="T1" s="319"/>
      <c r="U1" s="319"/>
      <c r="V1" s="317"/>
      <c r="W1" s="317"/>
      <c r="X1" s="315"/>
      <c r="Y1" s="295"/>
      <c r="Z1" s="296"/>
      <c r="AA1" s="297"/>
      <c r="AB1" s="297"/>
      <c r="AC1" s="297"/>
      <c r="AD1" s="297"/>
      <c r="AE1" s="298"/>
      <c r="AF1" s="298"/>
      <c r="AG1" s="299"/>
      <c r="AH1" s="299"/>
      <c r="AI1" s="298"/>
      <c r="AJ1" s="300"/>
      <c r="AK1" s="300"/>
      <c r="AL1" s="300"/>
      <c r="AM1" s="300"/>
      <c r="AN1" s="299"/>
      <c r="AO1" s="310" t="s">
        <v>331</v>
      </c>
      <c r="AP1" s="311"/>
      <c r="AQ1" s="311"/>
      <c r="AR1" s="311"/>
      <c r="AS1" s="311"/>
      <c r="AT1" s="311"/>
      <c r="AU1" s="312"/>
      <c r="AV1" s="311"/>
      <c r="AW1" s="311"/>
      <c r="AX1" s="313"/>
      <c r="AY1" s="313"/>
      <c r="AZ1" s="313"/>
      <c r="BA1" s="313"/>
      <c r="BB1" s="313"/>
      <c r="BC1" s="314"/>
      <c r="BD1" s="314"/>
      <c r="BE1" s="374" t="s">
        <v>448</v>
      </c>
      <c r="BF1" s="340"/>
      <c r="BG1" s="313"/>
      <c r="BH1" s="340"/>
      <c r="BI1" s="313"/>
      <c r="BJ1" s="341" t="s">
        <v>384</v>
      </c>
      <c r="BK1" s="341"/>
      <c r="BL1" s="341"/>
      <c r="BM1" s="341" t="s">
        <v>385</v>
      </c>
      <c r="BN1" s="339" t="str">
        <f>Summary!K3</f>
        <v>4) Staff Public Lands Strategy</v>
      </c>
      <c r="BO1" s="301"/>
      <c r="BP1" s="301"/>
      <c r="BQ1" s="302"/>
      <c r="BR1" s="302"/>
      <c r="BS1" s="302"/>
      <c r="BT1" s="302"/>
      <c r="BU1" s="345"/>
      <c r="BV1" s="308" t="str">
        <f>BN1</f>
        <v>4) Staff Public Lands Strategy</v>
      </c>
      <c r="BW1" s="309"/>
      <c r="BX1" s="334"/>
      <c r="BY1" s="335"/>
      <c r="BZ1" s="335"/>
      <c r="CA1" s="335"/>
      <c r="CB1" s="335"/>
      <c r="CC1" s="335"/>
      <c r="CD1" s="335"/>
      <c r="CE1" s="335"/>
      <c r="CF1" s="335"/>
      <c r="CG1" s="335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503" t="str">
        <f>Summary!M3</f>
        <v>5) Guillen/Kaplan (70% for 20 Sites)</v>
      </c>
      <c r="CT1" s="504"/>
      <c r="CU1" s="504"/>
      <c r="CV1" s="505"/>
      <c r="CW1" s="505"/>
      <c r="CX1" s="505"/>
      <c r="CY1" s="506"/>
      <c r="CZ1" s="345"/>
      <c r="DA1" s="507" t="str">
        <f>CS1</f>
        <v>5) Guillen/Kaplan (70% for 20 Sites)</v>
      </c>
      <c r="DB1" s="508"/>
      <c r="DC1" s="508"/>
      <c r="DD1" s="508"/>
      <c r="DE1" s="508"/>
      <c r="DF1" s="508"/>
      <c r="DG1" s="513" t="str">
        <f>CS2</f>
        <v>100% BMR and 15% @ 80@ AMI</v>
      </c>
      <c r="DH1" s="508"/>
      <c r="DI1" s="508"/>
      <c r="DJ1" s="508"/>
      <c r="DK1" s="508"/>
      <c r="DL1" s="510"/>
      <c r="DM1" s="510"/>
      <c r="DN1" s="508"/>
      <c r="DO1" s="508"/>
      <c r="DP1" s="508"/>
      <c r="DQ1" s="508"/>
      <c r="DR1" s="509"/>
      <c r="DS1" s="509"/>
      <c r="DT1" s="509"/>
      <c r="DU1" s="509"/>
      <c r="DV1" s="509"/>
      <c r="DW1" s="510"/>
      <c r="DX1" s="510"/>
      <c r="DY1" s="510"/>
      <c r="DZ1" s="510"/>
      <c r="EA1" s="800" t="str">
        <f>Summary!I3</f>
        <v>3) Guillen/Kaplan (60% for 20 Sites)</v>
      </c>
      <c r="EB1" s="801"/>
      <c r="EC1" s="801"/>
      <c r="ED1" s="802"/>
      <c r="EE1" s="802"/>
      <c r="EF1" s="802"/>
      <c r="EG1" s="803"/>
      <c r="EH1" s="804"/>
      <c r="EI1" s="805" t="str">
        <f>EA1</f>
        <v>3) Guillen/Kaplan (60% for 20 Sites)</v>
      </c>
      <c r="EJ1" s="806"/>
      <c r="EK1" s="806"/>
      <c r="EL1" s="806"/>
      <c r="EM1" s="806"/>
      <c r="EN1" s="806"/>
      <c r="EO1" s="807" t="str">
        <f>EA2</f>
        <v>100% BMR and 15% @ 80@ AMI</v>
      </c>
      <c r="EP1" s="806"/>
      <c r="EQ1" s="806"/>
      <c r="ER1" s="806"/>
      <c r="ES1" s="806"/>
      <c r="ET1" s="808"/>
      <c r="EU1" s="808"/>
      <c r="EV1" s="806"/>
      <c r="EW1" s="806"/>
      <c r="EX1" s="806"/>
      <c r="EY1" s="806"/>
      <c r="EZ1" s="809"/>
      <c r="FA1" s="809"/>
      <c r="FB1" s="809"/>
      <c r="FC1" s="809"/>
      <c r="FD1" s="809"/>
      <c r="FE1" s="808"/>
      <c r="FF1" s="808"/>
      <c r="FG1" s="808"/>
      <c r="FH1" s="808"/>
      <c r="FI1" s="528" t="s">
        <v>494</v>
      </c>
      <c r="FJ1" s="529"/>
      <c r="FK1" s="529"/>
      <c r="FL1" s="529"/>
      <c r="FM1" s="530"/>
      <c r="FN1" s="530"/>
      <c r="FO1" s="530"/>
      <c r="FP1" s="531"/>
      <c r="FQ1" s="345"/>
      <c r="FR1" s="532" t="str">
        <f>FI1</f>
        <v>3) Surplus Lands Minimum</v>
      </c>
      <c r="FS1" s="533"/>
      <c r="FT1" s="533"/>
      <c r="FU1" s="533"/>
      <c r="FV1" s="533"/>
      <c r="FW1" s="533"/>
      <c r="FX1" s="534" t="str">
        <f>FI2</f>
        <v>15% @ 80% AMI</v>
      </c>
      <c r="FY1" s="533"/>
      <c r="FZ1" s="533"/>
      <c r="GA1" s="533"/>
      <c r="GB1" s="533"/>
      <c r="GC1" s="533"/>
      <c r="GD1" s="535"/>
      <c r="GE1" s="535"/>
      <c r="GF1" s="535"/>
      <c r="GG1" s="535"/>
      <c r="GH1" s="535"/>
      <c r="GI1" s="536"/>
      <c r="GJ1" s="536"/>
      <c r="GK1" s="536"/>
      <c r="GL1" s="536"/>
      <c r="GM1" s="536"/>
      <c r="GN1" s="536"/>
      <c r="GO1" s="342" t="s">
        <v>244</v>
      </c>
      <c r="GP1" s="303"/>
      <c r="GQ1" s="303"/>
      <c r="GR1" s="304"/>
      <c r="GS1" s="304"/>
      <c r="GT1" s="304"/>
      <c r="GU1" s="343"/>
      <c r="GV1" s="345"/>
      <c r="GW1" s="305" t="s">
        <v>310</v>
      </c>
      <c r="GX1" s="306"/>
      <c r="GY1" s="306"/>
      <c r="GZ1" s="306"/>
      <c r="HA1" s="307"/>
      <c r="HB1" s="344"/>
      <c r="HC1" s="344"/>
      <c r="HD1" s="306"/>
      <c r="HE1" s="306"/>
      <c r="HF1" s="307"/>
      <c r="HG1" s="307"/>
      <c r="HH1" s="307"/>
      <c r="HI1" s="307"/>
      <c r="HJ1" s="307"/>
      <c r="HK1" s="307"/>
      <c r="HL1" s="307"/>
      <c r="HM1" s="307"/>
      <c r="HN1" s="307"/>
      <c r="HO1" s="344"/>
      <c r="HP1" s="376" t="s">
        <v>452</v>
      </c>
      <c r="HQ1" s="377" t="s">
        <v>446</v>
      </c>
      <c r="HR1" s="378"/>
      <c r="HS1" s="378"/>
      <c r="HT1" s="378" t="s">
        <v>454</v>
      </c>
      <c r="HU1" s="378"/>
      <c r="HV1" s="378"/>
      <c r="HW1" s="378"/>
      <c r="HX1" s="378"/>
      <c r="HY1" s="378"/>
      <c r="HZ1" s="379">
        <f>800*4.5</f>
        <v>3600</v>
      </c>
      <c r="IA1" s="380">
        <v>5</v>
      </c>
      <c r="IB1" s="380">
        <v>3</v>
      </c>
      <c r="IC1" s="379">
        <f>175*(365/12)</f>
        <v>5322.916666666667</v>
      </c>
      <c r="ID1" s="380">
        <v>1</v>
      </c>
      <c r="IE1" s="380">
        <v>0</v>
      </c>
      <c r="IF1" s="381"/>
      <c r="IG1" s="381"/>
      <c r="IH1" s="381"/>
      <c r="II1" s="381"/>
      <c r="IJ1" s="381"/>
      <c r="IK1" s="381"/>
      <c r="IL1" s="381"/>
      <c r="IM1" s="381"/>
      <c r="IN1" s="382" t="s">
        <v>376</v>
      </c>
      <c r="IO1" s="379">
        <v>200000</v>
      </c>
      <c r="IP1" s="381"/>
      <c r="IQ1" s="381"/>
      <c r="IR1" s="381"/>
      <c r="IS1" s="381"/>
      <c r="IT1" s="381"/>
      <c r="IU1" s="381"/>
      <c r="IV1" s="381"/>
      <c r="IW1" s="381"/>
      <c r="IX1" s="381"/>
      <c r="IY1" s="381"/>
      <c r="IZ1" s="381"/>
      <c r="JA1" s="381"/>
      <c r="JB1" s="381"/>
      <c r="JC1" s="381"/>
      <c r="JD1" s="381"/>
      <c r="JE1" s="381"/>
      <c r="JF1" s="381"/>
      <c r="JG1" s="381"/>
      <c r="JH1" s="381"/>
      <c r="JI1" s="381"/>
      <c r="JJ1" s="381"/>
      <c r="JK1" s="381"/>
      <c r="JL1" s="381"/>
      <c r="JM1" s="381"/>
      <c r="JN1" s="381"/>
      <c r="JO1" s="381"/>
      <c r="JP1" s="381"/>
      <c r="JQ1" s="381"/>
      <c r="JR1" s="381"/>
      <c r="JS1" s="381"/>
      <c r="JT1" s="381"/>
      <c r="JU1" s="381"/>
      <c r="JV1" s="381"/>
      <c r="JW1" s="381"/>
      <c r="JX1" s="398" t="s">
        <v>452</v>
      </c>
      <c r="JY1" s="398"/>
      <c r="JZ1" s="398"/>
      <c r="KA1" s="398"/>
      <c r="KB1" s="398"/>
      <c r="KC1" s="398"/>
      <c r="KD1" s="398"/>
      <c r="KE1" s="398"/>
      <c r="KF1" s="398"/>
      <c r="KG1" s="398"/>
      <c r="KH1" s="398"/>
      <c r="KI1" s="398"/>
      <c r="KJ1" s="398"/>
      <c r="KK1" s="398"/>
      <c r="KL1" s="398"/>
      <c r="KM1" s="398"/>
      <c r="KN1" s="398"/>
      <c r="KO1" s="398"/>
      <c r="KP1" s="398"/>
      <c r="KQ1" s="398"/>
      <c r="KR1" s="398"/>
      <c r="KS1" s="398"/>
      <c r="KT1" s="398"/>
      <c r="KU1" s="398"/>
      <c r="KV1" s="398"/>
      <c r="KW1" s="398"/>
      <c r="KX1" s="398"/>
      <c r="KY1" s="398"/>
      <c r="KZ1" s="398"/>
      <c r="LA1" s="398"/>
      <c r="LB1" s="398"/>
      <c r="LC1" s="398"/>
      <c r="LD1" s="398"/>
      <c r="LE1" s="398"/>
      <c r="LF1" s="398"/>
      <c r="LG1" s="398"/>
      <c r="LH1" s="398"/>
      <c r="LI1" s="398"/>
      <c r="LJ1" s="398"/>
      <c r="LK1" s="398"/>
      <c r="LL1" s="398"/>
      <c r="LM1" s="398"/>
      <c r="LN1" s="398"/>
      <c r="LO1" s="398"/>
      <c r="LP1" s="398"/>
      <c r="LQ1" s="398"/>
      <c r="LR1" s="398"/>
      <c r="LS1" s="398"/>
      <c r="LT1" s="398"/>
      <c r="LU1" s="398"/>
      <c r="LV1" s="398"/>
      <c r="LW1" s="398"/>
      <c r="LX1" s="398"/>
      <c r="LY1" s="398"/>
      <c r="LZ1" s="398"/>
      <c r="MA1" s="398"/>
      <c r="MB1" s="398"/>
      <c r="MC1" s="398"/>
      <c r="MD1" s="490" t="s">
        <v>452</v>
      </c>
      <c r="ME1" s="490"/>
      <c r="MF1" s="490"/>
      <c r="MG1" s="490"/>
      <c r="MH1" s="490"/>
      <c r="MI1" s="490"/>
      <c r="MJ1" s="490"/>
      <c r="MK1" s="490"/>
      <c r="ML1" s="490"/>
      <c r="MM1" s="490"/>
      <c r="MN1" s="490"/>
      <c r="MO1" s="412" t="s">
        <v>452</v>
      </c>
      <c r="MP1" s="412"/>
      <c r="MQ1" s="412"/>
      <c r="MR1" s="412"/>
      <c r="MS1" s="412"/>
      <c r="MT1" s="412"/>
      <c r="MU1" s="412"/>
      <c r="MV1" s="412"/>
      <c r="MW1" s="412"/>
      <c r="MX1" s="412"/>
      <c r="MY1" s="412"/>
      <c r="MZ1" s="412"/>
      <c r="NA1" s="412"/>
      <c r="NB1" s="412"/>
      <c r="NC1" s="412"/>
      <c r="ND1" s="412"/>
      <c r="NE1" s="412"/>
      <c r="NF1" s="412"/>
      <c r="NG1" s="412"/>
      <c r="NH1" s="412"/>
      <c r="NI1" s="412"/>
      <c r="NJ1" s="412"/>
      <c r="NK1" s="412"/>
      <c r="NL1" s="412"/>
      <c r="NM1" s="412"/>
      <c r="NN1" s="412"/>
      <c r="NO1" s="412"/>
      <c r="NP1" s="412"/>
      <c r="NQ1" s="412"/>
      <c r="NR1" s="412"/>
      <c r="NS1" s="412"/>
      <c r="NT1" s="412"/>
      <c r="NU1" s="412"/>
      <c r="NV1" s="412"/>
      <c r="NW1" s="412"/>
      <c r="NX1" s="412"/>
      <c r="NY1" s="412"/>
      <c r="NZ1" s="412"/>
      <c r="OA1" s="412"/>
      <c r="OB1" s="412"/>
      <c r="OC1" s="412"/>
      <c r="OD1" s="412"/>
      <c r="OE1" s="412"/>
      <c r="OF1" s="412"/>
      <c r="OG1" s="412"/>
      <c r="OH1" s="412"/>
      <c r="OI1" s="412"/>
      <c r="OJ1" s="412"/>
      <c r="OK1" s="412"/>
      <c r="OL1" s="412"/>
      <c r="OM1" s="412"/>
      <c r="ON1" s="412"/>
      <c r="OO1" s="412"/>
      <c r="OP1" s="412"/>
      <c r="OQ1" s="412"/>
      <c r="OR1" s="412"/>
      <c r="OS1" s="412"/>
      <c r="OT1" s="412"/>
    </row>
    <row r="2" spans="1:410" s="7" customFormat="1" ht="15" customHeight="1">
      <c r="A2" s="14"/>
      <c r="B2" s="278"/>
      <c r="C2" s="1"/>
      <c r="D2" s="1"/>
      <c r="E2" s="1"/>
      <c r="F2" s="1"/>
      <c r="I2" s="371"/>
      <c r="J2" s="1"/>
      <c r="K2" s="1"/>
      <c r="L2" s="1"/>
      <c r="M2" s="1"/>
      <c r="N2" s="1"/>
      <c r="O2" s="1"/>
      <c r="P2" s="3"/>
      <c r="Q2" s="191"/>
      <c r="R2" s="191"/>
      <c r="S2" s="191"/>
      <c r="T2" s="191"/>
      <c r="U2" s="3"/>
      <c r="V2" s="371"/>
      <c r="W2" s="1"/>
      <c r="X2" s="1"/>
      <c r="Y2" s="1"/>
      <c r="Z2" s="277"/>
      <c r="AA2" s="25"/>
      <c r="AB2" s="25"/>
      <c r="AC2" s="25"/>
      <c r="AD2" s="25"/>
      <c r="AE2" s="6"/>
      <c r="AF2" s="6"/>
      <c r="AG2" s="230"/>
      <c r="AH2" s="230"/>
      <c r="AI2" s="6"/>
      <c r="AJ2" s="12"/>
      <c r="AK2" s="12" t="s">
        <v>222</v>
      </c>
      <c r="AL2" s="12"/>
      <c r="AM2" s="12"/>
      <c r="AN2" s="230"/>
      <c r="AO2" s="210" t="s">
        <v>258</v>
      </c>
      <c r="AP2" s="210"/>
      <c r="AQ2" s="210"/>
      <c r="AR2" s="210"/>
      <c r="AS2" s="210"/>
      <c r="AT2" s="210"/>
      <c r="AU2" s="266"/>
      <c r="AV2" s="210"/>
      <c r="AW2" s="210"/>
      <c r="AX2" s="207"/>
      <c r="AY2" s="207"/>
      <c r="AZ2" s="207"/>
      <c r="BA2" s="207"/>
      <c r="BB2" s="207"/>
      <c r="BC2" s="269"/>
      <c r="BD2" s="269"/>
      <c r="BE2" s="269" t="s">
        <v>232</v>
      </c>
      <c r="BF2" s="209">
        <v>444000</v>
      </c>
      <c r="BG2" s="209"/>
      <c r="BH2" s="209"/>
      <c r="BI2" s="209" t="s">
        <v>411</v>
      </c>
      <c r="BJ2" s="208">
        <v>0.05</v>
      </c>
      <c r="BK2" s="209"/>
      <c r="BL2" s="209" t="s">
        <v>417</v>
      </c>
      <c r="BM2" s="208">
        <v>0.05</v>
      </c>
      <c r="BN2" s="255" t="str">
        <f>Summary!K4</f>
        <v>&gt;=20% BMR 
Portfolio-Wide</v>
      </c>
      <c r="BO2" s="256"/>
      <c r="BP2" s="256"/>
      <c r="BQ2" s="252"/>
      <c r="BR2" s="252"/>
      <c r="BS2" s="252"/>
      <c r="BT2" s="252"/>
      <c r="BU2" s="9"/>
      <c r="BV2" s="255" t="str">
        <f>BN2</f>
        <v>&gt;=20% BMR 
Portfolio-Wide</v>
      </c>
      <c r="BW2" s="252"/>
      <c r="BX2" s="256"/>
      <c r="BY2" s="256"/>
      <c r="BZ2" s="256"/>
      <c r="CA2" s="256"/>
      <c r="CB2" s="256" t="s">
        <v>571</v>
      </c>
      <c r="CC2" s="256">
        <v>0</v>
      </c>
      <c r="CD2" s="256"/>
      <c r="CE2" s="714"/>
      <c r="CF2" s="256"/>
      <c r="CG2" s="256" t="s">
        <v>239</v>
      </c>
      <c r="CH2" s="256"/>
      <c r="CI2" s="256"/>
      <c r="CJ2" s="256"/>
      <c r="CK2" s="256"/>
      <c r="CL2" s="256"/>
      <c r="CM2" s="256"/>
      <c r="CN2" s="256" t="s">
        <v>411</v>
      </c>
      <c r="CO2" s="256"/>
      <c r="CP2" s="256"/>
      <c r="CQ2" s="256" t="s">
        <v>417</v>
      </c>
      <c r="CR2" s="256"/>
      <c r="CS2" s="511" t="s">
        <v>685</v>
      </c>
      <c r="CT2" s="512"/>
      <c r="CU2" s="512"/>
      <c r="CV2" s="513"/>
      <c r="CW2" s="513"/>
      <c r="CX2" s="513"/>
      <c r="CY2" s="513"/>
      <c r="CZ2" s="9"/>
      <c r="DA2" s="511" t="str">
        <f>CS2</f>
        <v>100% BMR and 15% @ 80@ AMI</v>
      </c>
      <c r="DB2" s="513"/>
      <c r="DC2" s="513"/>
      <c r="DD2" s="513"/>
      <c r="DE2" s="513"/>
      <c r="DF2" s="513" t="s">
        <v>484</v>
      </c>
      <c r="DG2" s="240"/>
      <c r="DH2" s="513"/>
      <c r="DI2" s="513"/>
      <c r="DJ2" s="513"/>
      <c r="DK2" s="513"/>
      <c r="DL2" s="515"/>
      <c r="DM2" s="515"/>
      <c r="DN2" s="513"/>
      <c r="DO2" s="513"/>
      <c r="DP2" s="513"/>
      <c r="DQ2" s="513"/>
      <c r="DR2" s="513"/>
      <c r="DS2" s="513"/>
      <c r="DT2" s="513"/>
      <c r="DU2" s="513"/>
      <c r="DV2" s="513"/>
      <c r="DW2" s="515"/>
      <c r="DX2" s="515" t="s">
        <v>411</v>
      </c>
      <c r="DY2" s="515"/>
      <c r="DZ2" s="515" t="s">
        <v>417</v>
      </c>
      <c r="EA2" s="810" t="s">
        <v>685</v>
      </c>
      <c r="EB2" s="811"/>
      <c r="EC2" s="811"/>
      <c r="ED2" s="807"/>
      <c r="EE2" s="807"/>
      <c r="EF2" s="807"/>
      <c r="EG2" s="807"/>
      <c r="EH2" s="812"/>
      <c r="EI2" s="810" t="str">
        <f>EA2</f>
        <v>100% BMR and 15% @ 80@ AMI</v>
      </c>
      <c r="EJ2" s="807"/>
      <c r="EK2" s="807"/>
      <c r="EL2" s="807"/>
      <c r="EM2" s="807"/>
      <c r="EN2" s="807" t="s">
        <v>484</v>
      </c>
      <c r="EO2" s="813"/>
      <c r="EP2" s="807"/>
      <c r="EQ2" s="807"/>
      <c r="ER2" s="807"/>
      <c r="ES2" s="807"/>
      <c r="ET2" s="814"/>
      <c r="EU2" s="814"/>
      <c r="EV2" s="807"/>
      <c r="EW2" s="807"/>
      <c r="EX2" s="807"/>
      <c r="EY2" s="807"/>
      <c r="EZ2" s="807"/>
      <c r="FA2" s="807"/>
      <c r="FB2" s="807"/>
      <c r="FC2" s="807"/>
      <c r="FD2" s="807"/>
      <c r="FE2" s="814"/>
      <c r="FF2" s="814" t="s">
        <v>411</v>
      </c>
      <c r="FG2" s="814"/>
      <c r="FH2" s="814" t="s">
        <v>417</v>
      </c>
      <c r="FI2" s="537" t="s">
        <v>493</v>
      </c>
      <c r="FJ2" s="538"/>
      <c r="FK2" s="538"/>
      <c r="FL2" s="538"/>
      <c r="FM2" s="534"/>
      <c r="FN2" s="534"/>
      <c r="FO2" s="534"/>
      <c r="FP2" s="534"/>
      <c r="FQ2" s="9"/>
      <c r="FR2" s="537" t="str">
        <f>FI2</f>
        <v>15% @ 80% AMI</v>
      </c>
      <c r="FS2" s="534"/>
      <c r="FT2" s="534"/>
      <c r="FU2" s="534"/>
      <c r="FV2" s="534"/>
      <c r="FW2" s="534" t="s">
        <v>484</v>
      </c>
      <c r="FX2" s="540">
        <f>'Land Value Analysis_80%AMI'!$E$28</f>
        <v>441033.32038834953</v>
      </c>
      <c r="FY2" s="534"/>
      <c r="FZ2" s="534" t="s">
        <v>601</v>
      </c>
      <c r="GA2" s="713">
        <v>0</v>
      </c>
      <c r="GB2" s="534"/>
      <c r="GC2" s="534"/>
      <c r="GD2" s="534"/>
      <c r="GE2" s="534"/>
      <c r="GF2" s="534"/>
      <c r="GG2" s="534"/>
      <c r="GH2" s="534"/>
      <c r="GI2" s="541"/>
      <c r="GJ2" s="541" t="s">
        <v>411</v>
      </c>
      <c r="GK2" s="541"/>
      <c r="GL2" s="541"/>
      <c r="GM2" s="541" t="s">
        <v>417</v>
      </c>
      <c r="GN2" s="541"/>
      <c r="GO2" s="236" t="s">
        <v>329</v>
      </c>
      <c r="GP2" s="192"/>
      <c r="GQ2" s="192"/>
      <c r="GR2" s="28"/>
      <c r="GS2" s="28"/>
      <c r="GT2" s="28"/>
      <c r="GU2" s="28"/>
      <c r="GV2" s="9"/>
      <c r="GW2" s="236" t="s">
        <v>329</v>
      </c>
      <c r="GX2" s="28"/>
      <c r="GY2" s="28"/>
      <c r="GZ2" s="28"/>
      <c r="HA2" s="322"/>
      <c r="HB2" s="237"/>
      <c r="HC2" s="237"/>
      <c r="HD2" s="28"/>
      <c r="HE2" s="28"/>
      <c r="HF2" s="28" t="s">
        <v>282</v>
      </c>
      <c r="HG2" s="28"/>
      <c r="HH2" s="322"/>
      <c r="HI2" s="322"/>
      <c r="HJ2" s="322"/>
      <c r="HK2" s="322"/>
      <c r="HL2" s="322"/>
      <c r="HM2" s="28" t="s">
        <v>411</v>
      </c>
      <c r="HN2" s="322"/>
      <c r="HO2" s="237" t="s">
        <v>417</v>
      </c>
      <c r="HP2" s="383" t="s">
        <v>453</v>
      </c>
      <c r="HQ2" s="377" t="s">
        <v>445</v>
      </c>
      <c r="HR2" s="378"/>
      <c r="HS2" s="378"/>
      <c r="HT2" s="378" t="s">
        <v>454</v>
      </c>
      <c r="HU2" s="378"/>
      <c r="HV2" s="378"/>
      <c r="HW2" s="378"/>
      <c r="HX2" s="378"/>
      <c r="HY2" s="378"/>
      <c r="HZ2" s="379">
        <f>777*3.25</f>
        <v>2525.25</v>
      </c>
      <c r="IA2" s="380">
        <f>37.8/12</f>
        <v>3.15</v>
      </c>
      <c r="IB2" s="380">
        <v>2</v>
      </c>
      <c r="IC2" s="378"/>
      <c r="ID2" s="380">
        <v>1</v>
      </c>
      <c r="IE2" s="380">
        <v>0</v>
      </c>
      <c r="IF2" s="384"/>
      <c r="IG2" s="384"/>
      <c r="IH2" s="384"/>
      <c r="II2" s="384"/>
      <c r="IJ2" s="384"/>
      <c r="IK2" s="384"/>
      <c r="IL2" s="384"/>
      <c r="IM2" s="384"/>
      <c r="IN2" s="384"/>
      <c r="IO2" s="384"/>
      <c r="IP2" s="384"/>
      <c r="IQ2" s="384"/>
      <c r="IR2" s="384"/>
      <c r="IS2" s="384"/>
      <c r="IT2" s="377">
        <v>1</v>
      </c>
      <c r="IU2" s="377">
        <v>2</v>
      </c>
      <c r="IV2" s="377">
        <v>3</v>
      </c>
      <c r="IW2" s="377">
        <v>4</v>
      </c>
      <c r="IX2" s="377">
        <v>5</v>
      </c>
      <c r="IY2" s="377">
        <v>6</v>
      </c>
      <c r="IZ2" s="377">
        <v>7</v>
      </c>
      <c r="JA2" s="377">
        <v>8</v>
      </c>
      <c r="JB2" s="377">
        <v>9</v>
      </c>
      <c r="JC2" s="377">
        <v>10</v>
      </c>
      <c r="JD2" s="377">
        <v>11</v>
      </c>
      <c r="JE2" s="377">
        <v>12</v>
      </c>
      <c r="JF2" s="377">
        <v>13</v>
      </c>
      <c r="JG2" s="377">
        <v>14</v>
      </c>
      <c r="JH2" s="377">
        <v>15</v>
      </c>
      <c r="JI2" s="377">
        <v>16</v>
      </c>
      <c r="JJ2" s="377">
        <v>17</v>
      </c>
      <c r="JK2" s="377">
        <v>18</v>
      </c>
      <c r="JL2" s="377">
        <v>19</v>
      </c>
      <c r="JM2" s="377">
        <v>20</v>
      </c>
      <c r="JN2" s="377">
        <v>21</v>
      </c>
      <c r="JO2" s="377">
        <v>22</v>
      </c>
      <c r="JP2" s="377">
        <v>23</v>
      </c>
      <c r="JQ2" s="377">
        <v>24</v>
      </c>
      <c r="JR2" s="377">
        <v>25</v>
      </c>
      <c r="JS2" s="377">
        <v>26</v>
      </c>
      <c r="JT2" s="377">
        <v>27</v>
      </c>
      <c r="JU2" s="377">
        <v>28</v>
      </c>
      <c r="JV2" s="377">
        <v>29</v>
      </c>
      <c r="JW2" s="377">
        <v>30</v>
      </c>
      <c r="JX2" s="399" t="s">
        <v>467</v>
      </c>
      <c r="JY2" s="399"/>
      <c r="JZ2" s="399"/>
      <c r="KA2" s="400"/>
      <c r="KB2" s="400"/>
      <c r="KC2" s="400"/>
      <c r="KD2" s="400"/>
      <c r="KE2" s="400"/>
      <c r="KF2" s="400"/>
      <c r="KG2" s="400"/>
      <c r="KH2" s="400"/>
      <c r="KI2" s="400"/>
      <c r="KJ2" s="400"/>
      <c r="KK2" s="400"/>
      <c r="KL2" s="400"/>
      <c r="KM2" s="400"/>
      <c r="KN2" s="400"/>
      <c r="KO2" s="400"/>
      <c r="KP2" s="400"/>
      <c r="KQ2" s="400"/>
      <c r="KR2" s="400"/>
      <c r="KS2" s="400"/>
      <c r="KT2" s="400"/>
      <c r="KU2" s="400"/>
      <c r="KV2" s="400"/>
      <c r="KW2" s="400"/>
      <c r="KX2" s="400"/>
      <c r="KY2" s="400"/>
      <c r="KZ2" s="400">
        <v>1</v>
      </c>
      <c r="LA2" s="400">
        <v>2</v>
      </c>
      <c r="LB2" s="400">
        <v>3</v>
      </c>
      <c r="LC2" s="400">
        <v>4</v>
      </c>
      <c r="LD2" s="400">
        <v>5</v>
      </c>
      <c r="LE2" s="400">
        <v>6</v>
      </c>
      <c r="LF2" s="400">
        <v>7</v>
      </c>
      <c r="LG2" s="400">
        <v>8</v>
      </c>
      <c r="LH2" s="400">
        <v>9</v>
      </c>
      <c r="LI2" s="400">
        <v>10</v>
      </c>
      <c r="LJ2" s="400">
        <v>11</v>
      </c>
      <c r="LK2" s="400">
        <v>12</v>
      </c>
      <c r="LL2" s="400">
        <v>13</v>
      </c>
      <c r="LM2" s="400">
        <v>14</v>
      </c>
      <c r="LN2" s="400">
        <v>15</v>
      </c>
      <c r="LO2" s="400">
        <v>16</v>
      </c>
      <c r="LP2" s="400">
        <v>17</v>
      </c>
      <c r="LQ2" s="400">
        <v>18</v>
      </c>
      <c r="LR2" s="400">
        <v>19</v>
      </c>
      <c r="LS2" s="400">
        <v>20</v>
      </c>
      <c r="LT2" s="400">
        <v>21</v>
      </c>
      <c r="LU2" s="400">
        <v>22</v>
      </c>
      <c r="LV2" s="400">
        <v>23</v>
      </c>
      <c r="LW2" s="400">
        <v>24</v>
      </c>
      <c r="LX2" s="400">
        <v>25</v>
      </c>
      <c r="LY2" s="400">
        <v>26</v>
      </c>
      <c r="LZ2" s="400">
        <v>27</v>
      </c>
      <c r="MA2" s="400">
        <v>28</v>
      </c>
      <c r="MB2" s="400">
        <v>29</v>
      </c>
      <c r="MC2" s="400">
        <v>30</v>
      </c>
      <c r="MD2" s="362" t="s">
        <v>482</v>
      </c>
      <c r="ME2" s="491"/>
      <c r="MF2" s="491"/>
      <c r="MG2" s="491"/>
      <c r="MH2" s="491"/>
      <c r="MI2" s="491"/>
      <c r="MJ2" s="491"/>
      <c r="MK2" s="491"/>
      <c r="ML2" s="491"/>
      <c r="MM2" s="491"/>
      <c r="MN2" s="491"/>
      <c r="MO2" s="447" t="s">
        <v>466</v>
      </c>
      <c r="MP2" s="447"/>
      <c r="MQ2" s="447"/>
      <c r="MR2" s="413"/>
      <c r="MS2" s="413"/>
      <c r="MT2" s="413"/>
      <c r="MU2" s="413"/>
      <c r="MV2" s="413"/>
      <c r="MW2" s="413"/>
      <c r="MX2" s="413"/>
      <c r="MY2" s="413"/>
      <c r="MZ2" s="413"/>
      <c r="NA2" s="413"/>
      <c r="NB2" s="413"/>
      <c r="NC2" s="413"/>
      <c r="ND2" s="413"/>
      <c r="NE2" s="413"/>
      <c r="NF2" s="413"/>
      <c r="NG2" s="413"/>
      <c r="NH2" s="413"/>
      <c r="NI2" s="413"/>
      <c r="NJ2" s="413"/>
      <c r="NK2" s="413"/>
      <c r="NL2" s="413"/>
      <c r="NM2" s="413"/>
      <c r="NN2" s="413"/>
      <c r="NO2" s="413"/>
      <c r="NP2" s="413"/>
      <c r="NQ2" s="413">
        <v>1</v>
      </c>
      <c r="NR2" s="413">
        <v>2</v>
      </c>
      <c r="NS2" s="413">
        <v>3</v>
      </c>
      <c r="NT2" s="413">
        <v>4</v>
      </c>
      <c r="NU2" s="413">
        <v>5</v>
      </c>
      <c r="NV2" s="413">
        <v>6</v>
      </c>
      <c r="NW2" s="413">
        <v>7</v>
      </c>
      <c r="NX2" s="413">
        <v>8</v>
      </c>
      <c r="NY2" s="413">
        <v>9</v>
      </c>
      <c r="NZ2" s="413">
        <v>10</v>
      </c>
      <c r="OA2" s="413">
        <v>11</v>
      </c>
      <c r="OB2" s="413">
        <v>12</v>
      </c>
      <c r="OC2" s="413">
        <v>13</v>
      </c>
      <c r="OD2" s="413">
        <v>14</v>
      </c>
      <c r="OE2" s="413">
        <v>15</v>
      </c>
      <c r="OF2" s="413">
        <v>16</v>
      </c>
      <c r="OG2" s="413">
        <v>17</v>
      </c>
      <c r="OH2" s="413">
        <v>18</v>
      </c>
      <c r="OI2" s="413">
        <v>19</v>
      </c>
      <c r="OJ2" s="413">
        <v>20</v>
      </c>
      <c r="OK2" s="413">
        <v>21</v>
      </c>
      <c r="OL2" s="413">
        <v>22</v>
      </c>
      <c r="OM2" s="413">
        <v>23</v>
      </c>
      <c r="ON2" s="413">
        <v>24</v>
      </c>
      <c r="OO2" s="413">
        <v>25</v>
      </c>
      <c r="OP2" s="413">
        <v>26</v>
      </c>
      <c r="OQ2" s="413">
        <v>27</v>
      </c>
      <c r="OR2" s="413">
        <v>28</v>
      </c>
      <c r="OS2" s="413">
        <v>29</v>
      </c>
      <c r="OT2" s="413">
        <v>30</v>
      </c>
    </row>
    <row r="3" spans="1:410" s="5" customFormat="1" ht="15" customHeight="1">
      <c r="A3" s="13" t="s">
        <v>342</v>
      </c>
      <c r="B3" s="16"/>
      <c r="C3" s="16"/>
      <c r="D3" s="16"/>
      <c r="E3" s="16"/>
      <c r="F3" s="16"/>
      <c r="G3" s="15"/>
      <c r="H3" s="15"/>
      <c r="I3" s="17"/>
      <c r="J3" s="17"/>
      <c r="K3" s="17"/>
      <c r="L3" s="17"/>
      <c r="M3" s="17"/>
      <c r="N3" s="17"/>
      <c r="O3" s="17"/>
      <c r="P3" s="18"/>
      <c r="Q3" s="18"/>
      <c r="R3" s="18"/>
      <c r="S3" s="18"/>
      <c r="T3" s="18"/>
      <c r="U3" s="18"/>
      <c r="V3" s="16"/>
      <c r="W3" s="16"/>
      <c r="X3" s="16"/>
      <c r="Y3" s="16"/>
      <c r="Z3" s="16"/>
      <c r="AA3" s="26"/>
      <c r="AB3" s="26"/>
      <c r="AC3" s="26"/>
      <c r="AD3" s="26"/>
      <c r="AE3" s="8"/>
      <c r="AF3" s="8"/>
      <c r="AG3" s="8"/>
      <c r="AH3" s="8"/>
      <c r="AI3" s="8"/>
      <c r="AJ3" s="8"/>
      <c r="AK3" s="227">
        <v>450</v>
      </c>
      <c r="AL3" s="227"/>
      <c r="AM3" s="8"/>
      <c r="AN3" s="231"/>
      <c r="AO3" s="208">
        <v>1</v>
      </c>
      <c r="AP3" s="208"/>
      <c r="AQ3" s="208"/>
      <c r="AR3" s="208"/>
      <c r="AS3" s="208"/>
      <c r="AT3" s="208"/>
      <c r="AU3" s="267"/>
      <c r="AV3" s="333"/>
      <c r="AW3" s="333">
        <v>6</v>
      </c>
      <c r="AX3" s="209"/>
      <c r="AY3" s="209"/>
      <c r="AZ3" s="209"/>
      <c r="BA3" s="209"/>
      <c r="BB3" s="207"/>
      <c r="BC3" s="793" t="s">
        <v>328</v>
      </c>
      <c r="BD3" s="209">
        <v>125000</v>
      </c>
      <c r="BE3" s="272" t="s">
        <v>386</v>
      </c>
      <c r="BF3" s="209">
        <v>328000</v>
      </c>
      <c r="BG3" s="209"/>
      <c r="BH3" s="209"/>
      <c r="BI3" s="209">
        <v>40000000</v>
      </c>
      <c r="BJ3" s="209"/>
      <c r="BK3" s="209"/>
      <c r="BL3" s="209">
        <v>40000000</v>
      </c>
      <c r="BM3" s="209"/>
      <c r="BN3" s="257"/>
      <c r="BO3" s="257"/>
      <c r="BP3" s="257"/>
      <c r="BQ3" s="254"/>
      <c r="BR3" s="254"/>
      <c r="BS3" s="254"/>
      <c r="BT3" s="254"/>
      <c r="BU3" s="9"/>
      <c r="BV3" s="254"/>
      <c r="BW3" s="254"/>
      <c r="BX3" s="337"/>
      <c r="BY3" s="555"/>
      <c r="BZ3" s="257"/>
      <c r="CA3" s="257"/>
      <c r="CB3" s="257" t="s">
        <v>532</v>
      </c>
      <c r="CC3" s="257">
        <v>0</v>
      </c>
      <c r="CD3" s="257" t="s">
        <v>602</v>
      </c>
      <c r="CE3" s="715">
        <v>0.4</v>
      </c>
      <c r="CF3" s="257"/>
      <c r="CG3" s="257">
        <f>-'Staff Strategy'!$C$43</f>
        <v>-101752</v>
      </c>
      <c r="CH3" s="257"/>
      <c r="CI3" s="257"/>
      <c r="CJ3" s="257"/>
      <c r="CK3" s="257"/>
      <c r="CL3" s="257"/>
      <c r="CM3" s="257"/>
      <c r="CN3" s="257">
        <f>$BI$3</f>
        <v>40000000</v>
      </c>
      <c r="CO3" s="257"/>
      <c r="CP3" s="257"/>
      <c r="CQ3" s="257">
        <f>$BL$3</f>
        <v>40000000</v>
      </c>
      <c r="CR3" s="257"/>
      <c r="CS3" s="516"/>
      <c r="CT3" s="516"/>
      <c r="CU3" s="516"/>
      <c r="CV3" s="514"/>
      <c r="CW3" s="514"/>
      <c r="CX3" s="514"/>
      <c r="CY3" s="514"/>
      <c r="CZ3" s="9"/>
      <c r="DA3" s="514"/>
      <c r="DB3" s="514"/>
      <c r="DC3" s="514"/>
      <c r="DD3" s="514"/>
      <c r="DE3" s="514"/>
      <c r="DF3" s="513" t="s">
        <v>287</v>
      </c>
      <c r="DG3" s="240">
        <f>'Guillen-Kaplan'!C43</f>
        <v>224566.39999999997</v>
      </c>
      <c r="DH3" s="516">
        <v>101752</v>
      </c>
      <c r="DI3" s="516"/>
      <c r="DJ3" s="517"/>
      <c r="DK3" s="514"/>
      <c r="DL3" s="517"/>
      <c r="DM3" s="517"/>
      <c r="DN3" s="514"/>
      <c r="DO3" s="514"/>
      <c r="DP3" s="514"/>
      <c r="DQ3" s="514"/>
      <c r="DR3" s="517"/>
      <c r="DS3" s="517"/>
      <c r="DT3" s="517"/>
      <c r="DU3" s="517"/>
      <c r="DV3" s="517"/>
      <c r="DW3" s="517"/>
      <c r="DX3" s="517">
        <f>$BI$3</f>
        <v>40000000</v>
      </c>
      <c r="DY3" s="517"/>
      <c r="DZ3" s="517">
        <f>$BL$3</f>
        <v>40000000</v>
      </c>
      <c r="EA3" s="815"/>
      <c r="EB3" s="815"/>
      <c r="EC3" s="815"/>
      <c r="ED3" s="812"/>
      <c r="EE3" s="812"/>
      <c r="EF3" s="812"/>
      <c r="EG3" s="812"/>
      <c r="EH3" s="812"/>
      <c r="EI3" s="812"/>
      <c r="EJ3" s="812"/>
      <c r="EK3" s="812"/>
      <c r="EL3" s="812"/>
      <c r="EM3" s="812"/>
      <c r="EN3" s="807" t="s">
        <v>287</v>
      </c>
      <c r="EO3" s="813">
        <f>'Guillen-Kaplan'!AK43</f>
        <v>0</v>
      </c>
      <c r="EP3" s="815">
        <v>101752</v>
      </c>
      <c r="EQ3" s="815"/>
      <c r="ER3" s="813"/>
      <c r="ES3" s="812"/>
      <c r="ET3" s="813"/>
      <c r="EU3" s="813"/>
      <c r="EV3" s="812"/>
      <c r="EW3" s="812"/>
      <c r="EX3" s="812"/>
      <c r="EY3" s="812"/>
      <c r="EZ3" s="813"/>
      <c r="FA3" s="813"/>
      <c r="FB3" s="813"/>
      <c r="FC3" s="813"/>
      <c r="FD3" s="813"/>
      <c r="FE3" s="813"/>
      <c r="FF3" s="813">
        <f>$BI$3</f>
        <v>40000000</v>
      </c>
      <c r="FG3" s="813"/>
      <c r="FH3" s="813">
        <f>$BL$3</f>
        <v>40000000</v>
      </c>
      <c r="FI3" s="542"/>
      <c r="FJ3" s="542"/>
      <c r="FK3" s="542"/>
      <c r="FL3" s="542"/>
      <c r="FM3" s="539"/>
      <c r="FN3" s="539"/>
      <c r="FO3" s="539"/>
      <c r="FP3" s="539"/>
      <c r="FQ3" s="9"/>
      <c r="FR3" s="539"/>
      <c r="FS3" s="539"/>
      <c r="FT3" s="539"/>
      <c r="FU3" s="539"/>
      <c r="FV3" s="539"/>
      <c r="FW3" s="534" t="s">
        <v>287</v>
      </c>
      <c r="FX3" s="540">
        <f>'Land Value Analysis_80%AMI'!$C$28</f>
        <v>224566.39999999997</v>
      </c>
      <c r="FY3" s="542">
        <v>0</v>
      </c>
      <c r="FZ3" s="539" t="s">
        <v>602</v>
      </c>
      <c r="GA3" s="712">
        <v>0</v>
      </c>
      <c r="GB3" s="539"/>
      <c r="GC3" s="539"/>
      <c r="GD3" s="540"/>
      <c r="GE3" s="540"/>
      <c r="GF3" s="540"/>
      <c r="GG3" s="540"/>
      <c r="GH3" s="540"/>
      <c r="GI3" s="540"/>
      <c r="GJ3" s="540">
        <f>$BI$3</f>
        <v>40000000</v>
      </c>
      <c r="GK3" s="540"/>
      <c r="GL3" s="540"/>
      <c r="GM3" s="540">
        <f>$BL$3</f>
        <v>40000000</v>
      </c>
      <c r="GN3" s="540"/>
      <c r="GO3" s="193"/>
      <c r="GP3" s="193"/>
      <c r="GQ3" s="193"/>
      <c r="GR3" s="29"/>
      <c r="GS3" s="29"/>
      <c r="GT3" s="29"/>
      <c r="GU3" s="29"/>
      <c r="GV3" s="9"/>
      <c r="GW3" s="29"/>
      <c r="GX3" s="29"/>
      <c r="GY3" s="29"/>
      <c r="GZ3" s="29"/>
      <c r="HA3" s="323"/>
      <c r="HB3" s="200"/>
      <c r="HC3" s="200"/>
      <c r="HD3" s="29"/>
      <c r="HE3" s="29"/>
      <c r="HF3" s="200">
        <f>'Staff Strategy'!$C$43</f>
        <v>101752</v>
      </c>
      <c r="HG3" s="200"/>
      <c r="HH3" s="323"/>
      <c r="HI3" s="323"/>
      <c r="HJ3" s="323"/>
      <c r="HK3" s="323"/>
      <c r="HL3" s="323"/>
      <c r="HM3" s="200">
        <f>$BI$3</f>
        <v>40000000</v>
      </c>
      <c r="HN3" s="323"/>
      <c r="HO3" s="200">
        <f>$BL$3</f>
        <v>40000000</v>
      </c>
      <c r="HP3" s="383"/>
      <c r="HQ3" s="385"/>
      <c r="HR3" s="444"/>
      <c r="HS3" s="385"/>
      <c r="HT3" s="385"/>
      <c r="HU3" s="385"/>
      <c r="HV3" s="385"/>
      <c r="HW3" s="385"/>
      <c r="HX3" s="385"/>
      <c r="HY3" s="440"/>
      <c r="HZ3" s="385"/>
      <c r="IA3" s="385"/>
      <c r="IB3" s="385"/>
      <c r="IC3" s="385"/>
      <c r="ID3" s="385"/>
      <c r="IE3" s="440"/>
      <c r="IF3" s="858" t="s">
        <v>344</v>
      </c>
      <c r="IG3" s="859"/>
      <c r="IH3" s="859"/>
      <c r="II3" s="859"/>
      <c r="IJ3" s="859"/>
      <c r="IK3" s="859"/>
      <c r="IL3" s="860"/>
      <c r="IM3" s="858" t="s">
        <v>345</v>
      </c>
      <c r="IN3" s="859"/>
      <c r="IO3" s="860"/>
      <c r="IP3" s="387"/>
      <c r="IQ3" s="387"/>
      <c r="IR3" s="386" t="s">
        <v>346</v>
      </c>
      <c r="IS3" s="388">
        <v>2017</v>
      </c>
      <c r="IT3" s="388">
        <v>2018</v>
      </c>
      <c r="IU3" s="388">
        <v>2019</v>
      </c>
      <c r="IV3" s="388">
        <v>2020</v>
      </c>
      <c r="IW3" s="388">
        <v>2021</v>
      </c>
      <c r="IX3" s="388">
        <v>2022</v>
      </c>
      <c r="IY3" s="388">
        <v>2023</v>
      </c>
      <c r="IZ3" s="388">
        <v>2024</v>
      </c>
      <c r="JA3" s="388">
        <v>2025</v>
      </c>
      <c r="JB3" s="388">
        <v>2026</v>
      </c>
      <c r="JC3" s="388">
        <v>2027</v>
      </c>
      <c r="JD3" s="388">
        <v>2028</v>
      </c>
      <c r="JE3" s="388">
        <v>2029</v>
      </c>
      <c r="JF3" s="388">
        <v>2030</v>
      </c>
      <c r="JG3" s="388">
        <v>2031</v>
      </c>
      <c r="JH3" s="388">
        <v>2032</v>
      </c>
      <c r="JI3" s="388">
        <v>2033</v>
      </c>
      <c r="JJ3" s="388">
        <v>2034</v>
      </c>
      <c r="JK3" s="388">
        <v>2035</v>
      </c>
      <c r="JL3" s="388">
        <v>2036</v>
      </c>
      <c r="JM3" s="388">
        <v>2037</v>
      </c>
      <c r="JN3" s="388">
        <v>2038</v>
      </c>
      <c r="JO3" s="388">
        <v>2039</v>
      </c>
      <c r="JP3" s="388">
        <v>2040</v>
      </c>
      <c r="JQ3" s="388">
        <v>2041</v>
      </c>
      <c r="JR3" s="388">
        <v>2042</v>
      </c>
      <c r="JS3" s="388">
        <v>2043</v>
      </c>
      <c r="JT3" s="388">
        <v>2044</v>
      </c>
      <c r="JU3" s="388">
        <v>2045</v>
      </c>
      <c r="JV3" s="388">
        <v>2046</v>
      </c>
      <c r="JW3" s="389">
        <v>2047</v>
      </c>
      <c r="JX3" s="401"/>
      <c r="JY3" s="401"/>
      <c r="JZ3" s="401"/>
      <c r="KA3" s="441"/>
      <c r="KB3" s="441"/>
      <c r="KC3" s="441"/>
      <c r="KD3" s="441"/>
      <c r="KE3" s="441"/>
      <c r="KF3" s="441"/>
      <c r="KG3" s="441"/>
      <c r="KH3" s="441"/>
      <c r="KI3" s="441"/>
      <c r="KJ3" s="441"/>
      <c r="KK3" s="441"/>
      <c r="KL3" s="861" t="s">
        <v>344</v>
      </c>
      <c r="KM3" s="862"/>
      <c r="KN3" s="862"/>
      <c r="KO3" s="862"/>
      <c r="KP3" s="862"/>
      <c r="KQ3" s="862"/>
      <c r="KR3" s="863"/>
      <c r="KS3" s="861" t="s">
        <v>345</v>
      </c>
      <c r="KT3" s="862"/>
      <c r="KU3" s="863"/>
      <c r="KV3" s="403"/>
      <c r="KW3" s="403"/>
      <c r="KX3" s="402" t="s">
        <v>346</v>
      </c>
      <c r="KY3" s="401">
        <v>2017</v>
      </c>
      <c r="KZ3" s="401">
        <v>2018</v>
      </c>
      <c r="LA3" s="401">
        <v>2019</v>
      </c>
      <c r="LB3" s="401">
        <v>2020</v>
      </c>
      <c r="LC3" s="401">
        <v>2021</v>
      </c>
      <c r="LD3" s="401">
        <v>2022</v>
      </c>
      <c r="LE3" s="401">
        <v>2023</v>
      </c>
      <c r="LF3" s="401">
        <v>2024</v>
      </c>
      <c r="LG3" s="401">
        <v>2025</v>
      </c>
      <c r="LH3" s="401">
        <v>2026</v>
      </c>
      <c r="LI3" s="401">
        <v>2027</v>
      </c>
      <c r="LJ3" s="401">
        <v>2028</v>
      </c>
      <c r="LK3" s="401">
        <v>2029</v>
      </c>
      <c r="LL3" s="401">
        <v>2030</v>
      </c>
      <c r="LM3" s="401">
        <v>2031</v>
      </c>
      <c r="LN3" s="401">
        <v>2032</v>
      </c>
      <c r="LO3" s="401">
        <v>2033</v>
      </c>
      <c r="LP3" s="401">
        <v>2034</v>
      </c>
      <c r="LQ3" s="401">
        <v>2035</v>
      </c>
      <c r="LR3" s="401">
        <v>2036</v>
      </c>
      <c r="LS3" s="401">
        <v>2037</v>
      </c>
      <c r="LT3" s="401">
        <v>2038</v>
      </c>
      <c r="LU3" s="401">
        <v>2039</v>
      </c>
      <c r="LV3" s="401">
        <v>2040</v>
      </c>
      <c r="LW3" s="401">
        <v>2041</v>
      </c>
      <c r="LX3" s="401">
        <v>2042</v>
      </c>
      <c r="LY3" s="401">
        <v>2043</v>
      </c>
      <c r="LZ3" s="401">
        <v>2044</v>
      </c>
      <c r="MA3" s="401">
        <v>2045</v>
      </c>
      <c r="MB3" s="401">
        <v>2046</v>
      </c>
      <c r="MC3" s="404">
        <v>2047</v>
      </c>
      <c r="MD3" s="492"/>
      <c r="ME3" s="493"/>
      <c r="MF3" s="493"/>
      <c r="MG3" s="493"/>
      <c r="MH3" s="493"/>
      <c r="MI3" s="493"/>
      <c r="MJ3" s="493"/>
      <c r="MK3" s="493"/>
      <c r="ML3" s="493"/>
      <c r="MM3" s="493"/>
      <c r="MN3" s="493"/>
      <c r="MO3" s="415"/>
      <c r="MP3" s="415"/>
      <c r="MQ3" s="415"/>
      <c r="MR3" s="438"/>
      <c r="MS3" s="438"/>
      <c r="MT3" s="438"/>
      <c r="MU3" s="438"/>
      <c r="MV3" s="438"/>
      <c r="MW3" s="438"/>
      <c r="MX3" s="438"/>
      <c r="MY3" s="438"/>
      <c r="MZ3" s="438"/>
      <c r="NA3" s="438"/>
      <c r="NB3" s="438"/>
      <c r="NC3" s="855" t="s">
        <v>344</v>
      </c>
      <c r="ND3" s="856"/>
      <c r="NE3" s="856"/>
      <c r="NF3" s="856"/>
      <c r="NG3" s="856"/>
      <c r="NH3" s="856"/>
      <c r="NI3" s="857"/>
      <c r="NJ3" s="855" t="s">
        <v>345</v>
      </c>
      <c r="NK3" s="856"/>
      <c r="NL3" s="857"/>
      <c r="NM3" s="439"/>
      <c r="NN3" s="439"/>
      <c r="NO3" s="414" t="s">
        <v>346</v>
      </c>
      <c r="NP3" s="415">
        <v>2017</v>
      </c>
      <c r="NQ3" s="415">
        <v>2018</v>
      </c>
      <c r="NR3" s="415">
        <v>2019</v>
      </c>
      <c r="NS3" s="415">
        <v>2020</v>
      </c>
      <c r="NT3" s="415">
        <v>2021</v>
      </c>
      <c r="NU3" s="415">
        <v>2022</v>
      </c>
      <c r="NV3" s="415">
        <v>2023</v>
      </c>
      <c r="NW3" s="415">
        <v>2024</v>
      </c>
      <c r="NX3" s="415">
        <v>2025</v>
      </c>
      <c r="NY3" s="415">
        <v>2026</v>
      </c>
      <c r="NZ3" s="415">
        <v>2027</v>
      </c>
      <c r="OA3" s="415">
        <v>2028</v>
      </c>
      <c r="OB3" s="415">
        <v>2029</v>
      </c>
      <c r="OC3" s="415">
        <v>2030</v>
      </c>
      <c r="OD3" s="415">
        <v>2031</v>
      </c>
      <c r="OE3" s="415">
        <v>2032</v>
      </c>
      <c r="OF3" s="415">
        <v>2033</v>
      </c>
      <c r="OG3" s="415">
        <v>2034</v>
      </c>
      <c r="OH3" s="415">
        <v>2035</v>
      </c>
      <c r="OI3" s="415">
        <v>2036</v>
      </c>
      <c r="OJ3" s="415">
        <v>2037</v>
      </c>
      <c r="OK3" s="415">
        <v>2038</v>
      </c>
      <c r="OL3" s="415">
        <v>2039</v>
      </c>
      <c r="OM3" s="415">
        <v>2040</v>
      </c>
      <c r="ON3" s="415">
        <v>2041</v>
      </c>
      <c r="OO3" s="415">
        <v>2042</v>
      </c>
      <c r="OP3" s="415">
        <v>2043</v>
      </c>
      <c r="OQ3" s="415">
        <v>2044</v>
      </c>
      <c r="OR3" s="415">
        <v>2045</v>
      </c>
      <c r="OS3" s="415">
        <v>2046</v>
      </c>
      <c r="OT3" s="416">
        <v>2047</v>
      </c>
    </row>
    <row r="4" spans="1:410" s="10" customFormat="1" ht="75">
      <c r="A4" s="212" t="s">
        <v>60</v>
      </c>
      <c r="B4" s="212" t="s">
        <v>0</v>
      </c>
      <c r="C4" s="212" t="s">
        <v>50</v>
      </c>
      <c r="D4" s="212"/>
      <c r="E4" s="212" t="s">
        <v>102</v>
      </c>
      <c r="F4" s="212" t="s">
        <v>435</v>
      </c>
      <c r="G4" s="213" t="s">
        <v>71</v>
      </c>
      <c r="H4" s="213" t="s">
        <v>455</v>
      </c>
      <c r="I4" s="214" t="s">
        <v>38</v>
      </c>
      <c r="J4" s="443" t="s">
        <v>456</v>
      </c>
      <c r="K4" s="443" t="s">
        <v>457</v>
      </c>
      <c r="L4" s="443" t="s">
        <v>458</v>
      </c>
      <c r="M4" s="443" t="s">
        <v>459</v>
      </c>
      <c r="N4" s="443" t="s">
        <v>460</v>
      </c>
      <c r="O4" s="214" t="s">
        <v>461</v>
      </c>
      <c r="P4" s="216" t="s">
        <v>295</v>
      </c>
      <c r="Q4" s="214" t="s">
        <v>39</v>
      </c>
      <c r="R4" s="214" t="s">
        <v>474</v>
      </c>
      <c r="S4" s="214" t="s">
        <v>472</v>
      </c>
      <c r="T4" s="214" t="s">
        <v>475</v>
      </c>
      <c r="U4" s="214" t="s">
        <v>104</v>
      </c>
      <c r="V4" s="212" t="s">
        <v>25</v>
      </c>
      <c r="W4" s="212" t="s">
        <v>98</v>
      </c>
      <c r="X4" s="212" t="s">
        <v>33</v>
      </c>
      <c r="Y4" s="212" t="s">
        <v>34</v>
      </c>
      <c r="Z4" s="212" t="s">
        <v>1</v>
      </c>
      <c r="AA4" s="215" t="s">
        <v>77</v>
      </c>
      <c r="AB4" s="215" t="s">
        <v>76</v>
      </c>
      <c r="AC4" s="215" t="s">
        <v>371</v>
      </c>
      <c r="AD4" s="215" t="s">
        <v>97</v>
      </c>
      <c r="AE4" s="216" t="s">
        <v>478</v>
      </c>
      <c r="AF4" s="216" t="s">
        <v>234</v>
      </c>
      <c r="AG4" s="216" t="s">
        <v>330</v>
      </c>
      <c r="AH4" s="216" t="s">
        <v>479</v>
      </c>
      <c r="AI4" s="216" t="s">
        <v>243</v>
      </c>
      <c r="AJ4" s="216" t="s">
        <v>110</v>
      </c>
      <c r="AK4" s="216" t="s">
        <v>223</v>
      </c>
      <c r="AL4" s="216" t="s">
        <v>422</v>
      </c>
      <c r="AM4" s="216" t="s">
        <v>117</v>
      </c>
      <c r="AN4" s="216" t="s">
        <v>275</v>
      </c>
      <c r="AO4" s="217" t="s">
        <v>259</v>
      </c>
      <c r="AP4" s="217" t="s">
        <v>260</v>
      </c>
      <c r="AQ4" s="217" t="s">
        <v>118</v>
      </c>
      <c r="AR4" s="217" t="s">
        <v>221</v>
      </c>
      <c r="AS4" s="217" t="s">
        <v>119</v>
      </c>
      <c r="AT4" s="217" t="s">
        <v>286</v>
      </c>
      <c r="AU4" s="268" t="s">
        <v>332</v>
      </c>
      <c r="AV4" s="217" t="s">
        <v>240</v>
      </c>
      <c r="AW4" s="217" t="s">
        <v>462</v>
      </c>
      <c r="AX4" s="217" t="s">
        <v>273</v>
      </c>
      <c r="AY4" s="217" t="s">
        <v>274</v>
      </c>
      <c r="AZ4" s="217" t="s">
        <v>463</v>
      </c>
      <c r="BA4" s="217" t="s">
        <v>261</v>
      </c>
      <c r="BB4" s="217" t="s">
        <v>262</v>
      </c>
      <c r="BC4" s="270" t="s">
        <v>333</v>
      </c>
      <c r="BD4" s="270" t="s">
        <v>334</v>
      </c>
      <c r="BE4" s="270" t="s">
        <v>232</v>
      </c>
      <c r="BF4" s="217" t="s">
        <v>381</v>
      </c>
      <c r="BG4" s="217" t="s">
        <v>374</v>
      </c>
      <c r="BH4" s="217" t="s">
        <v>372</v>
      </c>
      <c r="BI4" s="217" t="s">
        <v>373</v>
      </c>
      <c r="BJ4" s="217" t="s">
        <v>375</v>
      </c>
      <c r="BK4" s="217" t="s">
        <v>382</v>
      </c>
      <c r="BL4" s="217" t="s">
        <v>383</v>
      </c>
      <c r="BM4" s="217" t="s">
        <v>297</v>
      </c>
      <c r="BN4" s="258" t="s">
        <v>118</v>
      </c>
      <c r="BO4" s="258" t="s">
        <v>221</v>
      </c>
      <c r="BP4" s="258" t="s">
        <v>119</v>
      </c>
      <c r="BQ4" s="253" t="s">
        <v>61</v>
      </c>
      <c r="BR4" s="253" t="s">
        <v>122</v>
      </c>
      <c r="BS4" s="253" t="s">
        <v>224</v>
      </c>
      <c r="BT4" s="253" t="s">
        <v>280</v>
      </c>
      <c r="BU4" s="346"/>
      <c r="BV4" s="253" t="s">
        <v>225</v>
      </c>
      <c r="BW4" s="253" t="s">
        <v>226</v>
      </c>
      <c r="BX4" s="258" t="s">
        <v>318</v>
      </c>
      <c r="BY4" s="258" t="s">
        <v>317</v>
      </c>
      <c r="BZ4" s="258" t="s">
        <v>316</v>
      </c>
      <c r="CA4" s="258" t="s">
        <v>505</v>
      </c>
      <c r="CB4" s="258" t="s">
        <v>572</v>
      </c>
      <c r="CC4" s="258" t="s">
        <v>573</v>
      </c>
      <c r="CD4" s="258" t="s">
        <v>600</v>
      </c>
      <c r="CE4" s="258" t="s">
        <v>288</v>
      </c>
      <c r="CF4" s="258" t="s">
        <v>245</v>
      </c>
      <c r="CG4" s="258" t="s">
        <v>486</v>
      </c>
      <c r="CH4" s="258" t="s">
        <v>388</v>
      </c>
      <c r="CI4" s="258" t="s">
        <v>232</v>
      </c>
      <c r="CJ4" s="258" t="s">
        <v>381</v>
      </c>
      <c r="CK4" s="258" t="s">
        <v>374</v>
      </c>
      <c r="CL4" s="258" t="s">
        <v>389</v>
      </c>
      <c r="CM4" s="258" t="s">
        <v>387</v>
      </c>
      <c r="CN4" s="258" t="s">
        <v>373</v>
      </c>
      <c r="CO4" s="258" t="s">
        <v>375</v>
      </c>
      <c r="CP4" s="258" t="s">
        <v>382</v>
      </c>
      <c r="CQ4" s="258" t="s">
        <v>383</v>
      </c>
      <c r="CR4" s="258" t="s">
        <v>297</v>
      </c>
      <c r="CS4" s="518" t="s">
        <v>118</v>
      </c>
      <c r="CT4" s="518" t="s">
        <v>221</v>
      </c>
      <c r="CU4" s="518" t="s">
        <v>119</v>
      </c>
      <c r="CV4" s="519" t="s">
        <v>61</v>
      </c>
      <c r="CW4" s="519" t="s">
        <v>122</v>
      </c>
      <c r="CX4" s="519" t="s">
        <v>224</v>
      </c>
      <c r="CY4" s="519" t="s">
        <v>280</v>
      </c>
      <c r="CZ4" s="346"/>
      <c r="DA4" s="519" t="s">
        <v>225</v>
      </c>
      <c r="DB4" s="519" t="s">
        <v>226</v>
      </c>
      <c r="DC4" s="519" t="s">
        <v>624</v>
      </c>
      <c r="DD4" s="519" t="s">
        <v>623</v>
      </c>
      <c r="DE4" s="519" t="s">
        <v>316</v>
      </c>
      <c r="DF4" s="519" t="s">
        <v>505</v>
      </c>
      <c r="DG4" s="519" t="s">
        <v>487</v>
      </c>
      <c r="DH4" s="519" t="s">
        <v>572</v>
      </c>
      <c r="DI4" s="519" t="s">
        <v>580</v>
      </c>
      <c r="DJ4" s="519" t="s">
        <v>573</v>
      </c>
      <c r="DK4" s="519" t="s">
        <v>591</v>
      </c>
      <c r="DL4" s="519" t="s">
        <v>375</v>
      </c>
      <c r="DM4" s="519" t="s">
        <v>297</v>
      </c>
      <c r="DN4" s="519" t="s">
        <v>590</v>
      </c>
      <c r="DO4" s="519" t="s">
        <v>288</v>
      </c>
      <c r="DP4" s="519" t="s">
        <v>245</v>
      </c>
      <c r="DQ4" s="519" t="s">
        <v>486</v>
      </c>
      <c r="DR4" s="519" t="s">
        <v>388</v>
      </c>
      <c r="DS4" s="519" t="s">
        <v>232</v>
      </c>
      <c r="DT4" s="519" t="s">
        <v>381</v>
      </c>
      <c r="DU4" s="519" t="s">
        <v>374</v>
      </c>
      <c r="DV4" s="519" t="s">
        <v>389</v>
      </c>
      <c r="DW4" s="519" t="s">
        <v>387</v>
      </c>
      <c r="DX4" s="519" t="s">
        <v>373</v>
      </c>
      <c r="DY4" s="519" t="s">
        <v>382</v>
      </c>
      <c r="DZ4" s="519" t="s">
        <v>383</v>
      </c>
      <c r="EA4" s="816" t="s">
        <v>118</v>
      </c>
      <c r="EB4" s="816" t="s">
        <v>221</v>
      </c>
      <c r="EC4" s="816" t="s">
        <v>119</v>
      </c>
      <c r="ED4" s="817" t="s">
        <v>61</v>
      </c>
      <c r="EE4" s="817" t="s">
        <v>122</v>
      </c>
      <c r="EF4" s="817" t="s">
        <v>224</v>
      </c>
      <c r="EG4" s="817" t="s">
        <v>280</v>
      </c>
      <c r="EH4" s="818"/>
      <c r="EI4" s="817" t="s">
        <v>225</v>
      </c>
      <c r="EJ4" s="817" t="s">
        <v>226</v>
      </c>
      <c r="EK4" s="817" t="s">
        <v>624</v>
      </c>
      <c r="EL4" s="817" t="s">
        <v>623</v>
      </c>
      <c r="EM4" s="817" t="s">
        <v>316</v>
      </c>
      <c r="EN4" s="817" t="s">
        <v>505</v>
      </c>
      <c r="EO4" s="817" t="s">
        <v>487</v>
      </c>
      <c r="EP4" s="817" t="s">
        <v>572</v>
      </c>
      <c r="EQ4" s="817" t="s">
        <v>580</v>
      </c>
      <c r="ER4" s="817" t="s">
        <v>573</v>
      </c>
      <c r="ES4" s="817" t="s">
        <v>591</v>
      </c>
      <c r="ET4" s="817" t="s">
        <v>375</v>
      </c>
      <c r="EU4" s="817" t="s">
        <v>297</v>
      </c>
      <c r="EV4" s="817" t="s">
        <v>590</v>
      </c>
      <c r="EW4" s="817" t="s">
        <v>288</v>
      </c>
      <c r="EX4" s="817" t="s">
        <v>245</v>
      </c>
      <c r="EY4" s="817" t="s">
        <v>486</v>
      </c>
      <c r="EZ4" s="817" t="s">
        <v>388</v>
      </c>
      <c r="FA4" s="817" t="s">
        <v>232</v>
      </c>
      <c r="FB4" s="817" t="s">
        <v>381</v>
      </c>
      <c r="FC4" s="817" t="s">
        <v>374</v>
      </c>
      <c r="FD4" s="817" t="s">
        <v>389</v>
      </c>
      <c r="FE4" s="817" t="s">
        <v>387</v>
      </c>
      <c r="FF4" s="817" t="s">
        <v>373</v>
      </c>
      <c r="FG4" s="817" t="s">
        <v>382</v>
      </c>
      <c r="FH4" s="817" t="s">
        <v>383</v>
      </c>
      <c r="FI4" s="543" t="s">
        <v>118</v>
      </c>
      <c r="FJ4" s="543" t="s">
        <v>221</v>
      </c>
      <c r="FK4" s="543" t="s">
        <v>603</v>
      </c>
      <c r="FL4" s="543" t="s">
        <v>119</v>
      </c>
      <c r="FM4" s="544" t="s">
        <v>61</v>
      </c>
      <c r="FN4" s="544" t="s">
        <v>122</v>
      </c>
      <c r="FO4" s="544" t="s">
        <v>224</v>
      </c>
      <c r="FP4" s="544" t="s">
        <v>280</v>
      </c>
      <c r="FQ4" s="346"/>
      <c r="FR4" s="544" t="s">
        <v>225</v>
      </c>
      <c r="FS4" s="544" t="s">
        <v>226</v>
      </c>
      <c r="FT4" s="544" t="s">
        <v>318</v>
      </c>
      <c r="FU4" s="544" t="s">
        <v>317</v>
      </c>
      <c r="FV4" s="544" t="s">
        <v>316</v>
      </c>
      <c r="FW4" s="544" t="s">
        <v>600</v>
      </c>
      <c r="FX4" s="544" t="s">
        <v>487</v>
      </c>
      <c r="FY4" s="544" t="s">
        <v>285</v>
      </c>
      <c r="FZ4" s="544" t="s">
        <v>489</v>
      </c>
      <c r="GA4" s="544" t="s">
        <v>288</v>
      </c>
      <c r="GB4" s="544" t="s">
        <v>245</v>
      </c>
      <c r="GC4" s="544" t="s">
        <v>486</v>
      </c>
      <c r="GD4" s="544" t="s">
        <v>388</v>
      </c>
      <c r="GE4" s="544" t="s">
        <v>232</v>
      </c>
      <c r="GF4" s="544" t="s">
        <v>381</v>
      </c>
      <c r="GG4" s="544" t="s">
        <v>374</v>
      </c>
      <c r="GH4" s="544" t="s">
        <v>389</v>
      </c>
      <c r="GI4" s="544" t="s">
        <v>387</v>
      </c>
      <c r="GJ4" s="544" t="s">
        <v>373</v>
      </c>
      <c r="GK4" s="544" t="s">
        <v>375</v>
      </c>
      <c r="GL4" s="544" t="s">
        <v>382</v>
      </c>
      <c r="GM4" s="544" t="s">
        <v>383</v>
      </c>
      <c r="GN4" s="544" t="s">
        <v>297</v>
      </c>
      <c r="GO4" s="218" t="s">
        <v>118</v>
      </c>
      <c r="GP4" s="218" t="s">
        <v>221</v>
      </c>
      <c r="GQ4" s="218" t="s">
        <v>119</v>
      </c>
      <c r="GR4" s="30" t="s">
        <v>61</v>
      </c>
      <c r="GS4" s="30" t="s">
        <v>122</v>
      </c>
      <c r="GT4" s="30" t="s">
        <v>224</v>
      </c>
      <c r="GU4" s="30" t="s">
        <v>280</v>
      </c>
      <c r="GV4" s="346"/>
      <c r="GW4" s="30" t="s">
        <v>225</v>
      </c>
      <c r="GX4" s="30" t="s">
        <v>226</v>
      </c>
      <c r="GY4" s="30" t="s">
        <v>318</v>
      </c>
      <c r="GZ4" s="30" t="s">
        <v>505</v>
      </c>
      <c r="HA4" s="30" t="s">
        <v>375</v>
      </c>
      <c r="HB4" s="30" t="s">
        <v>297</v>
      </c>
      <c r="HC4" s="30" t="s">
        <v>489</v>
      </c>
      <c r="HD4" s="30" t="s">
        <v>288</v>
      </c>
      <c r="HE4" s="30" t="s">
        <v>245</v>
      </c>
      <c r="HF4" s="30" t="s">
        <v>335</v>
      </c>
      <c r="HG4" s="30" t="s">
        <v>388</v>
      </c>
      <c r="HH4" s="30" t="s">
        <v>232</v>
      </c>
      <c r="HI4" s="30" t="s">
        <v>381</v>
      </c>
      <c r="HJ4" s="30" t="s">
        <v>374</v>
      </c>
      <c r="HK4" s="30" t="s">
        <v>389</v>
      </c>
      <c r="HL4" s="30" t="s">
        <v>387</v>
      </c>
      <c r="HM4" s="30" t="s">
        <v>373</v>
      </c>
      <c r="HN4" s="30" t="s">
        <v>382</v>
      </c>
      <c r="HO4" s="30" t="s">
        <v>383</v>
      </c>
      <c r="HP4" s="390"/>
      <c r="HQ4" s="391" t="s">
        <v>390</v>
      </c>
      <c r="HR4" s="391" t="s">
        <v>477</v>
      </c>
      <c r="HS4" s="391" t="s">
        <v>286</v>
      </c>
      <c r="HT4" s="391" t="s">
        <v>332</v>
      </c>
      <c r="HU4" s="391" t="s">
        <v>348</v>
      </c>
      <c r="HV4" s="391" t="s">
        <v>350</v>
      </c>
      <c r="HW4" s="391" t="s">
        <v>352</v>
      </c>
      <c r="HX4" s="391" t="s">
        <v>353</v>
      </c>
      <c r="HY4" s="391" t="s">
        <v>464</v>
      </c>
      <c r="HZ4" s="391" t="s">
        <v>347</v>
      </c>
      <c r="IA4" s="391" t="s">
        <v>349</v>
      </c>
      <c r="IB4" s="391" t="s">
        <v>351</v>
      </c>
      <c r="IC4" s="391" t="s">
        <v>447</v>
      </c>
      <c r="ID4" s="391" t="s">
        <v>354</v>
      </c>
      <c r="IE4" s="391" t="s">
        <v>465</v>
      </c>
      <c r="IF4" s="392" t="s">
        <v>355</v>
      </c>
      <c r="IG4" s="391" t="s">
        <v>356</v>
      </c>
      <c r="IH4" s="391" t="s">
        <v>357</v>
      </c>
      <c r="II4" s="391" t="s">
        <v>358</v>
      </c>
      <c r="IJ4" s="391" t="s">
        <v>359</v>
      </c>
      <c r="IK4" s="391" t="s">
        <v>360</v>
      </c>
      <c r="IL4" s="393" t="s">
        <v>361</v>
      </c>
      <c r="IM4" s="392" t="s">
        <v>362</v>
      </c>
      <c r="IN4" s="391" t="s">
        <v>363</v>
      </c>
      <c r="IO4" s="393" t="s">
        <v>364</v>
      </c>
      <c r="IP4" s="394" t="s">
        <v>366</v>
      </c>
      <c r="IQ4" s="394" t="s">
        <v>367</v>
      </c>
      <c r="IR4" s="394" t="s">
        <v>365</v>
      </c>
      <c r="IS4" s="395">
        <f t="shared" ref="IS4:JW4" si="0">1.02^IS2</f>
        <v>1</v>
      </c>
      <c r="IT4" s="395">
        <f t="shared" si="0"/>
        <v>1.02</v>
      </c>
      <c r="IU4" s="395">
        <f t="shared" si="0"/>
        <v>1.0404</v>
      </c>
      <c r="IV4" s="395">
        <f t="shared" si="0"/>
        <v>1.0612079999999999</v>
      </c>
      <c r="IW4" s="395">
        <f t="shared" si="0"/>
        <v>1.08243216</v>
      </c>
      <c r="IX4" s="395">
        <f t="shared" si="0"/>
        <v>1.1040808032</v>
      </c>
      <c r="IY4" s="395">
        <f t="shared" si="0"/>
        <v>1.1261624192640001</v>
      </c>
      <c r="IZ4" s="395">
        <f t="shared" si="0"/>
        <v>1.1486856676492798</v>
      </c>
      <c r="JA4" s="395">
        <f t="shared" si="0"/>
        <v>1.1716593810022655</v>
      </c>
      <c r="JB4" s="395">
        <f t="shared" si="0"/>
        <v>1.1950925686223108</v>
      </c>
      <c r="JC4" s="395">
        <f t="shared" si="0"/>
        <v>1.2189944199947571</v>
      </c>
      <c r="JD4" s="395">
        <f t="shared" si="0"/>
        <v>1.243374308394652</v>
      </c>
      <c r="JE4" s="395">
        <f t="shared" si="0"/>
        <v>1.2682417945625453</v>
      </c>
      <c r="JF4" s="395">
        <f t="shared" si="0"/>
        <v>1.2936066304537961</v>
      </c>
      <c r="JG4" s="395">
        <f t="shared" si="0"/>
        <v>1.3194787630628722</v>
      </c>
      <c r="JH4" s="395">
        <f t="shared" si="0"/>
        <v>1.3458683383241292</v>
      </c>
      <c r="JI4" s="395">
        <f t="shared" si="0"/>
        <v>1.372785705090612</v>
      </c>
      <c r="JJ4" s="395">
        <f t="shared" si="0"/>
        <v>1.4002414191924244</v>
      </c>
      <c r="JK4" s="395">
        <f t="shared" si="0"/>
        <v>1.4282462475762727</v>
      </c>
      <c r="JL4" s="395">
        <f t="shared" si="0"/>
        <v>1.4568111725277981</v>
      </c>
      <c r="JM4" s="395">
        <f t="shared" si="0"/>
        <v>1.4859473959783542</v>
      </c>
      <c r="JN4" s="395">
        <f t="shared" si="0"/>
        <v>1.5156663438979212</v>
      </c>
      <c r="JO4" s="395">
        <f t="shared" si="0"/>
        <v>1.5459796707758797</v>
      </c>
      <c r="JP4" s="395">
        <f t="shared" si="0"/>
        <v>1.576899264191397</v>
      </c>
      <c r="JQ4" s="395">
        <f t="shared" si="0"/>
        <v>1.608437249475225</v>
      </c>
      <c r="JR4" s="395">
        <f t="shared" si="0"/>
        <v>1.6406059944647295</v>
      </c>
      <c r="JS4" s="395">
        <f t="shared" si="0"/>
        <v>1.6734181143540243</v>
      </c>
      <c r="JT4" s="395">
        <f t="shared" si="0"/>
        <v>1.7068864766411045</v>
      </c>
      <c r="JU4" s="395">
        <f t="shared" si="0"/>
        <v>1.7410242061739269</v>
      </c>
      <c r="JV4" s="395">
        <f t="shared" si="0"/>
        <v>1.7758446902974052</v>
      </c>
      <c r="JW4" s="396">
        <f t="shared" si="0"/>
        <v>1.8113615841033535</v>
      </c>
      <c r="JX4" s="405"/>
      <c r="JY4" s="406" t="s">
        <v>286</v>
      </c>
      <c r="JZ4" s="406" t="s">
        <v>332</v>
      </c>
      <c r="KA4" s="406" t="s">
        <v>348</v>
      </c>
      <c r="KB4" s="406" t="s">
        <v>350</v>
      </c>
      <c r="KC4" s="406" t="s">
        <v>352</v>
      </c>
      <c r="KD4" s="406" t="s">
        <v>353</v>
      </c>
      <c r="KE4" s="406" t="s">
        <v>464</v>
      </c>
      <c r="KF4" s="406" t="s">
        <v>347</v>
      </c>
      <c r="KG4" s="406" t="s">
        <v>349</v>
      </c>
      <c r="KH4" s="406" t="s">
        <v>351</v>
      </c>
      <c r="KI4" s="406" t="s">
        <v>447</v>
      </c>
      <c r="KJ4" s="406" t="s">
        <v>354</v>
      </c>
      <c r="KK4" s="406" t="s">
        <v>465</v>
      </c>
      <c r="KL4" s="407" t="s">
        <v>355</v>
      </c>
      <c r="KM4" s="406" t="s">
        <v>356</v>
      </c>
      <c r="KN4" s="406" t="s">
        <v>357</v>
      </c>
      <c r="KO4" s="406" t="s">
        <v>358</v>
      </c>
      <c r="KP4" s="406" t="s">
        <v>359</v>
      </c>
      <c r="KQ4" s="406" t="s">
        <v>360</v>
      </c>
      <c r="KR4" s="408" t="s">
        <v>361</v>
      </c>
      <c r="KS4" s="407" t="s">
        <v>362</v>
      </c>
      <c r="KT4" s="406" t="s">
        <v>363</v>
      </c>
      <c r="KU4" s="408" t="s">
        <v>364</v>
      </c>
      <c r="KV4" s="409" t="s">
        <v>366</v>
      </c>
      <c r="KW4" s="409" t="s">
        <v>367</v>
      </c>
      <c r="KX4" s="409" t="s">
        <v>365</v>
      </c>
      <c r="KY4" s="405">
        <f>1.02^KY2</f>
        <v>1</v>
      </c>
      <c r="KZ4" s="405">
        <f>1.02^KZ2</f>
        <v>1.02</v>
      </c>
      <c r="LA4" s="405">
        <f>1.02^LA2</f>
        <v>1.0404</v>
      </c>
      <c r="LB4" s="405">
        <f>1.02^LB2</f>
        <v>1.0612079999999999</v>
      </c>
      <c r="LC4" s="405">
        <f t="shared" ref="LC4:MC4" si="1">1.02^LC2</f>
        <v>1.08243216</v>
      </c>
      <c r="LD4" s="405">
        <f t="shared" si="1"/>
        <v>1.1040808032</v>
      </c>
      <c r="LE4" s="405">
        <f t="shared" si="1"/>
        <v>1.1261624192640001</v>
      </c>
      <c r="LF4" s="405">
        <f t="shared" si="1"/>
        <v>1.1486856676492798</v>
      </c>
      <c r="LG4" s="405">
        <f t="shared" si="1"/>
        <v>1.1716593810022655</v>
      </c>
      <c r="LH4" s="405">
        <f t="shared" si="1"/>
        <v>1.1950925686223108</v>
      </c>
      <c r="LI4" s="405">
        <f t="shared" si="1"/>
        <v>1.2189944199947571</v>
      </c>
      <c r="LJ4" s="405">
        <f t="shared" si="1"/>
        <v>1.243374308394652</v>
      </c>
      <c r="LK4" s="405">
        <f t="shared" si="1"/>
        <v>1.2682417945625453</v>
      </c>
      <c r="LL4" s="405">
        <f t="shared" si="1"/>
        <v>1.2936066304537961</v>
      </c>
      <c r="LM4" s="405">
        <f t="shared" si="1"/>
        <v>1.3194787630628722</v>
      </c>
      <c r="LN4" s="405">
        <f t="shared" si="1"/>
        <v>1.3458683383241292</v>
      </c>
      <c r="LO4" s="405">
        <f t="shared" si="1"/>
        <v>1.372785705090612</v>
      </c>
      <c r="LP4" s="405">
        <f t="shared" si="1"/>
        <v>1.4002414191924244</v>
      </c>
      <c r="LQ4" s="405">
        <f t="shared" si="1"/>
        <v>1.4282462475762727</v>
      </c>
      <c r="LR4" s="405">
        <f t="shared" si="1"/>
        <v>1.4568111725277981</v>
      </c>
      <c r="LS4" s="405">
        <f t="shared" si="1"/>
        <v>1.4859473959783542</v>
      </c>
      <c r="LT4" s="405">
        <f t="shared" si="1"/>
        <v>1.5156663438979212</v>
      </c>
      <c r="LU4" s="405">
        <f t="shared" si="1"/>
        <v>1.5459796707758797</v>
      </c>
      <c r="LV4" s="405">
        <f t="shared" si="1"/>
        <v>1.576899264191397</v>
      </c>
      <c r="LW4" s="405">
        <f t="shared" si="1"/>
        <v>1.608437249475225</v>
      </c>
      <c r="LX4" s="405">
        <f t="shared" si="1"/>
        <v>1.6406059944647295</v>
      </c>
      <c r="LY4" s="405">
        <f t="shared" si="1"/>
        <v>1.6734181143540243</v>
      </c>
      <c r="LZ4" s="405">
        <f t="shared" si="1"/>
        <v>1.7068864766411045</v>
      </c>
      <c r="MA4" s="405">
        <f t="shared" si="1"/>
        <v>1.7410242061739269</v>
      </c>
      <c r="MB4" s="405">
        <f t="shared" si="1"/>
        <v>1.7758446902974052</v>
      </c>
      <c r="MC4" s="410">
        <f t="shared" si="1"/>
        <v>1.8113615841033535</v>
      </c>
      <c r="MD4" s="494"/>
      <c r="ME4" s="495" t="s">
        <v>348</v>
      </c>
      <c r="MF4" s="495" t="s">
        <v>350</v>
      </c>
      <c r="MG4" s="495" t="s">
        <v>352</v>
      </c>
      <c r="MH4" s="495" t="s">
        <v>353</v>
      </c>
      <c r="MI4" s="495" t="s">
        <v>464</v>
      </c>
      <c r="MJ4" s="495" t="s">
        <v>349</v>
      </c>
      <c r="MK4" s="495" t="s">
        <v>351</v>
      </c>
      <c r="ML4" s="495" t="s">
        <v>447</v>
      </c>
      <c r="MM4" s="495" t="s">
        <v>354</v>
      </c>
      <c r="MN4" s="495" t="s">
        <v>465</v>
      </c>
      <c r="MO4" s="421"/>
      <c r="MP4" s="417" t="s">
        <v>286</v>
      </c>
      <c r="MQ4" s="417" t="s">
        <v>332</v>
      </c>
      <c r="MR4" s="417" t="s">
        <v>348</v>
      </c>
      <c r="MS4" s="417" t="s">
        <v>350</v>
      </c>
      <c r="MT4" s="417" t="s">
        <v>352</v>
      </c>
      <c r="MU4" s="417" t="s">
        <v>353</v>
      </c>
      <c r="MV4" s="417" t="s">
        <v>464</v>
      </c>
      <c r="MW4" s="417" t="s">
        <v>347</v>
      </c>
      <c r="MX4" s="417" t="s">
        <v>349</v>
      </c>
      <c r="MY4" s="417" t="s">
        <v>351</v>
      </c>
      <c r="MZ4" s="417" t="s">
        <v>447</v>
      </c>
      <c r="NA4" s="417" t="s">
        <v>354</v>
      </c>
      <c r="NB4" s="417" t="s">
        <v>465</v>
      </c>
      <c r="NC4" s="418" t="s">
        <v>355</v>
      </c>
      <c r="ND4" s="417" t="s">
        <v>356</v>
      </c>
      <c r="NE4" s="417" t="s">
        <v>357</v>
      </c>
      <c r="NF4" s="417" t="s">
        <v>358</v>
      </c>
      <c r="NG4" s="417" t="s">
        <v>359</v>
      </c>
      <c r="NH4" s="417" t="s">
        <v>360</v>
      </c>
      <c r="NI4" s="419" t="s">
        <v>361</v>
      </c>
      <c r="NJ4" s="418" t="s">
        <v>362</v>
      </c>
      <c r="NK4" s="417" t="s">
        <v>363</v>
      </c>
      <c r="NL4" s="419" t="s">
        <v>364</v>
      </c>
      <c r="NM4" s="420" t="s">
        <v>366</v>
      </c>
      <c r="NN4" s="420" t="s">
        <v>367</v>
      </c>
      <c r="NO4" s="420" t="s">
        <v>365</v>
      </c>
      <c r="NP4" s="421">
        <f>1.02^NP2</f>
        <v>1</v>
      </c>
      <c r="NQ4" s="421">
        <f>1.02^NQ2</f>
        <v>1.02</v>
      </c>
      <c r="NR4" s="421">
        <f>1.02^NR2</f>
        <v>1.0404</v>
      </c>
      <c r="NS4" s="421">
        <f>1.02^NS2</f>
        <v>1.0612079999999999</v>
      </c>
      <c r="NT4" s="421">
        <f t="shared" ref="NT4:OT4" si="2">1.02^NT2</f>
        <v>1.08243216</v>
      </c>
      <c r="NU4" s="421">
        <f t="shared" si="2"/>
        <v>1.1040808032</v>
      </c>
      <c r="NV4" s="421">
        <f t="shared" si="2"/>
        <v>1.1261624192640001</v>
      </c>
      <c r="NW4" s="421">
        <f t="shared" si="2"/>
        <v>1.1486856676492798</v>
      </c>
      <c r="NX4" s="421">
        <f t="shared" si="2"/>
        <v>1.1716593810022655</v>
      </c>
      <c r="NY4" s="421">
        <f t="shared" si="2"/>
        <v>1.1950925686223108</v>
      </c>
      <c r="NZ4" s="421">
        <f t="shared" si="2"/>
        <v>1.2189944199947571</v>
      </c>
      <c r="OA4" s="421">
        <f t="shared" si="2"/>
        <v>1.243374308394652</v>
      </c>
      <c r="OB4" s="421">
        <f t="shared" si="2"/>
        <v>1.2682417945625453</v>
      </c>
      <c r="OC4" s="421">
        <f t="shared" si="2"/>
        <v>1.2936066304537961</v>
      </c>
      <c r="OD4" s="421">
        <f t="shared" si="2"/>
        <v>1.3194787630628722</v>
      </c>
      <c r="OE4" s="421">
        <f t="shared" si="2"/>
        <v>1.3458683383241292</v>
      </c>
      <c r="OF4" s="421">
        <f t="shared" si="2"/>
        <v>1.372785705090612</v>
      </c>
      <c r="OG4" s="421">
        <f t="shared" si="2"/>
        <v>1.4002414191924244</v>
      </c>
      <c r="OH4" s="421">
        <f t="shared" si="2"/>
        <v>1.4282462475762727</v>
      </c>
      <c r="OI4" s="421">
        <f t="shared" si="2"/>
        <v>1.4568111725277981</v>
      </c>
      <c r="OJ4" s="421">
        <f t="shared" si="2"/>
        <v>1.4859473959783542</v>
      </c>
      <c r="OK4" s="421">
        <f t="shared" si="2"/>
        <v>1.5156663438979212</v>
      </c>
      <c r="OL4" s="421">
        <f t="shared" si="2"/>
        <v>1.5459796707758797</v>
      </c>
      <c r="OM4" s="421">
        <f t="shared" si="2"/>
        <v>1.576899264191397</v>
      </c>
      <c r="ON4" s="421">
        <f t="shared" si="2"/>
        <v>1.608437249475225</v>
      </c>
      <c r="OO4" s="421">
        <f t="shared" si="2"/>
        <v>1.6406059944647295</v>
      </c>
      <c r="OP4" s="421">
        <f t="shared" si="2"/>
        <v>1.6734181143540243</v>
      </c>
      <c r="OQ4" s="421">
        <f t="shared" si="2"/>
        <v>1.7068864766411045</v>
      </c>
      <c r="OR4" s="421">
        <f t="shared" si="2"/>
        <v>1.7410242061739269</v>
      </c>
      <c r="OS4" s="421">
        <f t="shared" si="2"/>
        <v>1.7758446902974052</v>
      </c>
      <c r="OT4" s="422">
        <f t="shared" si="2"/>
        <v>1.8113615841033535</v>
      </c>
    </row>
    <row r="5" spans="1:410" s="11" customFormat="1" ht="30">
      <c r="A5" s="19" t="s">
        <v>64</v>
      </c>
      <c r="B5" s="19" t="s">
        <v>65</v>
      </c>
      <c r="C5" s="19" t="s">
        <v>480</v>
      </c>
      <c r="D5" s="19">
        <v>2</v>
      </c>
      <c r="E5" s="19" t="s">
        <v>293</v>
      </c>
      <c r="F5" s="19" t="s">
        <v>420</v>
      </c>
      <c r="G5" s="22" t="s">
        <v>74</v>
      </c>
      <c r="H5" s="22"/>
      <c r="I5" s="442">
        <v>147081</v>
      </c>
      <c r="J5" s="20"/>
      <c r="K5" s="20"/>
      <c r="L5" s="20"/>
      <c r="M5" s="20"/>
      <c r="N5" s="20"/>
      <c r="O5" s="442">
        <f t="shared" ref="O5:O18" si="3">SUM(J5:N5)</f>
        <v>0</v>
      </c>
      <c r="P5" s="21"/>
      <c r="Q5" s="21" t="s">
        <v>68</v>
      </c>
      <c r="R5" s="27">
        <f t="shared" ref="R5:R18" si="4">I5/AJ5</f>
        <v>216.6141384388807</v>
      </c>
      <c r="S5" s="457" t="s">
        <v>27</v>
      </c>
      <c r="T5" s="27">
        <v>0</v>
      </c>
      <c r="U5" s="21"/>
      <c r="V5" s="19"/>
      <c r="W5" s="22" t="s">
        <v>75</v>
      </c>
      <c r="X5" s="19" t="s">
        <v>37</v>
      </c>
      <c r="Y5" s="19"/>
      <c r="Z5" s="19" t="s">
        <v>404</v>
      </c>
      <c r="AA5" s="219" t="s">
        <v>92</v>
      </c>
      <c r="AB5" s="219" t="s">
        <v>82</v>
      </c>
      <c r="AC5" s="224">
        <v>80</v>
      </c>
      <c r="AD5" s="224">
        <f t="shared" ref="AD5:AD17" si="5">AC5*I5</f>
        <v>11766480</v>
      </c>
      <c r="AE5" s="24"/>
      <c r="AF5" s="273"/>
      <c r="AG5" s="220">
        <f t="shared" ref="AG5:AG18" si="6">IF(ISBLANK(AE5),AD5,AE5)</f>
        <v>11766480</v>
      </c>
      <c r="AH5" s="220">
        <f t="shared" ref="AH5:AH18" si="7">AG5</f>
        <v>11766480</v>
      </c>
      <c r="AI5" s="24" t="s">
        <v>254</v>
      </c>
      <c r="AJ5" s="228">
        <f>VLOOKUP($Q5,'Zoning Density'!$A$1:$E$28,3,)</f>
        <v>679</v>
      </c>
      <c r="AK5" s="228">
        <f t="shared" ref="AK5:AK18" si="8">IF(AJ5=0,0,(IF(AJ5&gt;$AK$3,AJ5,$AK$3)))</f>
        <v>679</v>
      </c>
      <c r="AL5" s="229">
        <f t="shared" ref="AL5:AL18" si="9">IF(AJ5&gt;0,I5/AJ5,0)</f>
        <v>216.6141384388807</v>
      </c>
      <c r="AM5" s="229">
        <f t="shared" ref="AM5:AM18" si="10">IF(AK5&gt;0,I5/$AK5,0)</f>
        <v>216.6141384388807</v>
      </c>
      <c r="AN5" s="228">
        <v>2</v>
      </c>
      <c r="AO5" s="221">
        <f>VLOOKUP($AI5,Funding!$A$1:$G$6,3,FALSE)*$AG5</f>
        <v>11766480</v>
      </c>
      <c r="AP5" s="221">
        <f>VLOOKUP($AI5,Funding!$A$1:$G$6,4,FALSE)*$AG5</f>
        <v>11766480</v>
      </c>
      <c r="AQ5" s="351"/>
      <c r="AR5" s="274"/>
      <c r="AS5" s="222">
        <f t="shared" ref="AS5:AS18" si="11">IF(ISBLANK(AQ5),ROUNDDOWN($AM5,0),ROUNDDOWN(AQ5,0))</f>
        <v>216</v>
      </c>
      <c r="AT5" s="222"/>
      <c r="AU5" s="222">
        <f t="shared" ref="AU5:AU18" si="12">AS5-AT5</f>
        <v>216</v>
      </c>
      <c r="AV5" s="221">
        <f>VLOOKUP($AN5,'Impact Fee'!$A$1:$E$20,5,FALSE)*AU5</f>
        <v>3834000</v>
      </c>
      <c r="AW5" s="221">
        <f t="shared" ref="AW5:AW18" si="13">IF(P5="yes",IF((J5+M5)&gt;25000,(J5+M5-25000)*6,0),0)</f>
        <v>0</v>
      </c>
      <c r="AX5" s="221"/>
      <c r="AY5" s="321"/>
      <c r="AZ5" s="221">
        <f t="shared" ref="AZ5:AZ18" si="14">IF(ISBLANK(AX5),AV5+AW5,AX5)</f>
        <v>3834000</v>
      </c>
      <c r="BA5" s="221">
        <f t="shared" ref="BA5:BA18" si="15">AO5+AZ5</f>
        <v>15600480</v>
      </c>
      <c r="BB5" s="221">
        <f t="shared" ref="BB5:BB18" si="16">AP5+AZ5</f>
        <v>15600480</v>
      </c>
      <c r="BC5" s="271">
        <f>BA5/$BD$3</f>
        <v>124.80383999999999</v>
      </c>
      <c r="BD5" s="271">
        <f>BB5/$BD$3</f>
        <v>124.80383999999999</v>
      </c>
      <c r="BE5" s="271"/>
      <c r="BF5" s="221">
        <f t="shared" ref="BF5:BF18" si="17">IF(BE5="y",AS5*$BF$2,AS5*$BF$3)</f>
        <v>70848000</v>
      </c>
      <c r="BG5" s="221">
        <f t="shared" ref="BG5:BG18" si="18">($HU5*$IA5)+($HV5*$IB5)+($HX5*$ID5)+($HY5*$IE5)</f>
        <v>0</v>
      </c>
      <c r="BH5" s="221">
        <f t="shared" ref="BH5:BH18" si="19">IF(AU5&gt;79,-$BJ$2*BF5,0)</f>
        <v>-3542400</v>
      </c>
      <c r="BI5" s="221">
        <f t="shared" ref="BI5:BI18" si="20">IF(BG5&gt;$BI$3,-$BJ$2*BG5,0)</f>
        <v>0</v>
      </c>
      <c r="BJ5" s="221">
        <f t="shared" ref="BJ5:BJ18" si="21">BH5+BI5</f>
        <v>-3542400</v>
      </c>
      <c r="BK5" s="221">
        <f t="shared" ref="BK5:BK18" si="22">IF(AU5&gt;79,-$BM$2*BF5,0)</f>
        <v>-3542400</v>
      </c>
      <c r="BL5" s="221">
        <f t="shared" ref="BL5:BL18" si="23">IF(BG5&gt;$BL$3,-$BM$2*BG5,0)</f>
        <v>0</v>
      </c>
      <c r="BM5" s="221">
        <f t="shared" ref="BM5:BM18" si="24">BK5+BL5</f>
        <v>-3542400</v>
      </c>
      <c r="BN5" s="259"/>
      <c r="BO5" s="260"/>
      <c r="BP5" s="259">
        <f t="shared" ref="BP5:BP18" si="25">IF(ISBLANK(BN5),ROUNDDOWN(AS5,0),ROUNDDOWN(BN5,0))</f>
        <v>216</v>
      </c>
      <c r="BQ5" s="261">
        <v>1</v>
      </c>
      <c r="BR5" s="261">
        <f>IF(BQ5&gt;0.2,0.35,VLOOKUP(BQ5,'Density Bonus'!$A$1:$B$15,2,FALSE))</f>
        <v>0.35</v>
      </c>
      <c r="BS5" s="262">
        <f t="shared" ref="BS5:BS18" si="26">IF($I5/$AK$3&gt;((1+BR5)*BP5),(1+BR5)*BP5,IF(BP5&gt;($I5/$AK$3),BP5,($I5/$AK$3)))</f>
        <v>291.60000000000002</v>
      </c>
      <c r="BT5" s="262">
        <f t="shared" ref="BT5:BT13" si="27">IF(BR5&gt;0,ROUNDUP(BS5,0),ROUNDDOWN(BS5,0))</f>
        <v>292</v>
      </c>
      <c r="BU5" s="349"/>
      <c r="BV5" s="263">
        <f t="shared" ref="BV5:BV18" si="28">BQ5*BT5</f>
        <v>292</v>
      </c>
      <c r="BW5" s="263">
        <f t="shared" ref="BW5:BW18" si="29">BT5-BV5</f>
        <v>0</v>
      </c>
      <c r="BX5" s="264">
        <f t="shared" ref="BX5:BX18" si="30">IF(F5="Commercial",IF((J5+M5)&gt;25000,(J5+M5-25000)*6,0),0)</f>
        <v>0</v>
      </c>
      <c r="BY5" s="264">
        <f>IF(BQ5&lt;0.15,(VLOOKUP($AN5,'Impact Fee'!$A$1:$E$10,5,FALSE)*BW5),0)</f>
        <v>0</v>
      </c>
      <c r="BZ5" s="264">
        <f t="shared" ref="BZ5:BZ18" si="31">BX5+BY5</f>
        <v>0</v>
      </c>
      <c r="CA5" s="264">
        <f t="shared" ref="CA5:CA18" si="32">IF(BQ5&lt;1,IF(BY5&gt;0,$AG5+($AZ5-BZ5),$AG5),0)</f>
        <v>0</v>
      </c>
      <c r="CB5" s="264">
        <f t="shared" ref="CB5:CB18" si="33">IF(BQ5&lt;0.15,BW5*IF(CI5="y",$CC$2,$CC$3),0)</f>
        <v>0</v>
      </c>
      <c r="CC5" s="264">
        <f t="shared" ref="CC5:CC18" si="34">IF(CB5&gt;CA5,CA5,CB5)</f>
        <v>0</v>
      </c>
      <c r="CD5" s="264">
        <f t="shared" ref="CD5:CD18" si="35">IF(BQ5&lt;1,$AG5,0)</f>
        <v>0</v>
      </c>
      <c r="CE5" s="264">
        <f>CD5*IF(F5="Commercial",CE$3,VLOOKUP($AI5,Funding!$A$1:$G$6,5,FALSE))</f>
        <v>0</v>
      </c>
      <c r="CF5" s="264">
        <f t="shared" ref="CF5:CF18" si="36">SUM(BZ5,CC5,CE5)</f>
        <v>0</v>
      </c>
      <c r="CG5" s="264">
        <f t="shared" ref="CG5:CG18" si="37">BV5*$CG$3</f>
        <v>-29711584</v>
      </c>
      <c r="CH5" s="264">
        <f t="shared" ref="CH5:CH18" si="38">CF5+CG5</f>
        <v>-29711584</v>
      </c>
      <c r="CI5" s="264"/>
      <c r="CJ5" s="264">
        <f t="shared" ref="CJ5:CJ18" si="39">IF(CI5="y",BT5*$BF$2,BT5*$BF$3)</f>
        <v>95776000</v>
      </c>
      <c r="CK5" s="264">
        <f t="shared" ref="CK5:CK18" si="40">($KA5*$KG5)+($KB5*$KH5)+($KD5*$KJ5)+($KE5*$KK5)</f>
        <v>0</v>
      </c>
      <c r="CL5" s="264">
        <f t="shared" ref="CL5:CL18" si="41">IF(BT5&gt;79,IF(BQ5&gt;0,-$BJ$2*CJ5,0),0)</f>
        <v>-4788800</v>
      </c>
      <c r="CM5" s="264">
        <f t="shared" ref="CM5:CM18" si="42">IF(BT5&gt;79,IF(BQ5=0,-$BJ$2*CJ5,0),0)</f>
        <v>0</v>
      </c>
      <c r="CN5" s="264">
        <f t="shared" ref="CN5:CN18" si="43">IF(CK5&gt;$CN$3,-$BJ$2*CK5,0)</f>
        <v>0</v>
      </c>
      <c r="CO5" s="264">
        <f t="shared" ref="CO5:CO18" si="44">SUM(CL5:CN5)</f>
        <v>-4788800</v>
      </c>
      <c r="CP5" s="264">
        <f t="shared" ref="CP5:CP18" si="45">IF(BT5&gt;79,-$BM$2*CJ5*(1-BQ5),0)</f>
        <v>0</v>
      </c>
      <c r="CQ5" s="264">
        <f t="shared" ref="CQ5:CQ18" si="46">IF(CK5&gt;$CQ$3,-$BM$2*CK5,0)</f>
        <v>0</v>
      </c>
      <c r="CR5" s="264">
        <f t="shared" ref="CR5:CR18" si="47">CP5+CQ5</f>
        <v>0</v>
      </c>
      <c r="CS5" s="520"/>
      <c r="CT5" s="521"/>
      <c r="CU5" s="520">
        <f t="shared" ref="CU5:CU18" si="48">IF(ISBLANK(CS5),ROUNDDOWN($AS5,0),ROUNDDOWN(CS5,0))</f>
        <v>216</v>
      </c>
      <c r="CV5" s="522">
        <v>1</v>
      </c>
      <c r="CW5" s="522">
        <f>IF(CV5&gt;0.2,0.35,VLOOKUP(CV5,'Density Bonus'!$A$1:$B$15,2,FALSE))</f>
        <v>0.35</v>
      </c>
      <c r="CX5" s="523">
        <f t="shared" ref="CX5:CX18" si="49">IF($I5/$AK$3&gt;((1+CW5)*CU5),(1+CW5)*CU5,IF(CU5&gt;($I5/$AK$3),CU5,($I5/$AK$3)))</f>
        <v>291.60000000000002</v>
      </c>
      <c r="CY5" s="523">
        <f t="shared" ref="CY5:CY13" si="50">IF(CW5&gt;0,ROUNDUP(CX5,0),ROUNDDOWN(CX5,0))</f>
        <v>292</v>
      </c>
      <c r="CZ5" s="347"/>
      <c r="DA5" s="524">
        <f t="shared" ref="DA5:DA18" si="51">IF(ISBLANK($AT5),ROUND(CV5*CY5,0),$AT5)</f>
        <v>292</v>
      </c>
      <c r="DB5" s="524">
        <f t="shared" ref="DB5:DB18" si="52">CY5-DA5</f>
        <v>0</v>
      </c>
      <c r="DC5" s="525">
        <f t="shared" ref="DC5:DC18" si="53">IF($P5="Yes",$AZ5,IF($E5="Under Agreement",$AZ5,0))</f>
        <v>0</v>
      </c>
      <c r="DD5" s="525">
        <f>IF(CV5&lt;0.4,VLOOKUP($AN5,'Impact Fee'!$A$1:$E$10,5,FALSE)*DB5,0)</f>
        <v>0</v>
      </c>
      <c r="DE5" s="525">
        <f t="shared" ref="DE5:DE18" si="54">DC5+DD5</f>
        <v>0</v>
      </c>
      <c r="DF5" s="525">
        <f t="shared" ref="DF5:DF18" si="55">IF(CV5&lt;1,$AG5+DD5,0)</f>
        <v>0</v>
      </c>
      <c r="DG5" s="525">
        <f t="shared" ref="DG5:DG18" si="56">IF(CV5&lt;1,IF(DS5="y",DA5*$DG$2,DA5*$DG$3),DA5*$HF$3)</f>
        <v>29711584</v>
      </c>
      <c r="DH5" s="525">
        <f t="shared" ref="DH5:DH18" si="57">IF(CV5&lt;0.4,(0.4-CV5)*CY5*$DH$3,0)</f>
        <v>0</v>
      </c>
      <c r="DI5" s="525">
        <f t="shared" ref="DI5:DI18" si="58">DF5-(DG5-DL5-DM5)</f>
        <v>-34500384</v>
      </c>
      <c r="DJ5" s="525">
        <f t="shared" ref="DJ5:DJ18" si="59">IF(DI5&gt;0,IF(DH5&gt;DI5,DI5,DH5),0)</f>
        <v>0</v>
      </c>
      <c r="DK5" s="525">
        <f t="shared" ref="DK5:DK18" si="60">IF(CV5&lt;1,IF((DF5-(DG5+DJ5))&gt;0,DF5-(DG5+DJ5),0),0)</f>
        <v>0</v>
      </c>
      <c r="DL5" s="525">
        <f t="shared" ref="DL5:DL18" si="61">SUM(DV5:DX5)</f>
        <v>-4788800</v>
      </c>
      <c r="DM5" s="525">
        <f t="shared" ref="DM5:DM18" si="62">DY5+DZ5</f>
        <v>0</v>
      </c>
      <c r="DN5" s="525">
        <f t="shared" ref="DN5:DN18" si="63">IF(CV5&lt;1,IF((DF5-(DG5+DJ5-DL5-DM5))&gt;0,DF5-(DG5+DJ5-DL5-DM5),0),0)</f>
        <v>0</v>
      </c>
      <c r="DO5" s="525">
        <f>VLOOKUP($AI5,Funding!$A$1:$G$6,6,FALSE)*DN5</f>
        <v>0</v>
      </c>
      <c r="DP5" s="525">
        <f t="shared" ref="DP5:DP18" si="64">SUM(DC5,DJ5,DO5)</f>
        <v>0</v>
      </c>
      <c r="DQ5" s="525">
        <f t="shared" ref="DQ5:DQ18" si="65">IF((DF5-(DG5+DJ5-DL5-DM5))&lt;0,DF5-(DG5+DJ5-DL5-DM5),0)</f>
        <v>-34500384</v>
      </c>
      <c r="DR5" s="525">
        <f t="shared" ref="DR5:DR18" si="66">DP5+DQ5</f>
        <v>-34500384</v>
      </c>
      <c r="DS5" s="525"/>
      <c r="DT5" s="525">
        <f t="shared" ref="DT5:DT18" si="67">IF(DS5="y",CY5*$BF$2,CY5*$BF$3)</f>
        <v>95776000</v>
      </c>
      <c r="DU5" s="525">
        <f t="shared" ref="DU5:DU18" si="68">($ME5*$MJ5)+($MF5*$MK5)+($MH5*$MM5)+($MI5*$MN5)</f>
        <v>0</v>
      </c>
      <c r="DV5" s="525">
        <f t="shared" ref="DV5:DV18" si="69">IF(CY5&gt;79,IF(CV5&gt;0,-$BJ$2*DT5,0),0)</f>
        <v>-4788800</v>
      </c>
      <c r="DW5" s="525">
        <f t="shared" ref="DW5:DW18" si="70">IF(CY5&gt;79,IF(CV5=0,-$BJ$2*DT5,0),0)</f>
        <v>0</v>
      </c>
      <c r="DX5" s="525">
        <f t="shared" ref="DX5:DX18" si="71">IF(DU5&gt;$DX$3,-$BJ$2*DU5,0)</f>
        <v>0</v>
      </c>
      <c r="DY5" s="525">
        <f t="shared" ref="DY5:DY18" si="72">IF(CY5&gt;79,IF(CV5=1,0,-$BM$2*DT5),0)</f>
        <v>0</v>
      </c>
      <c r="DZ5" s="525">
        <f t="shared" ref="DZ5:DZ18" si="73">IF(DU5&gt;$DZ$3,-$BM$2*DU5,0)</f>
        <v>0</v>
      </c>
      <c r="EA5" s="819"/>
      <c r="EB5" s="820"/>
      <c r="EC5" s="819">
        <f t="shared" ref="EC5:EC18" si="74">IF(ISBLANK(EA5),ROUNDDOWN($AS5,0),ROUNDDOWN(EA5,0))</f>
        <v>216</v>
      </c>
      <c r="ED5" s="821">
        <v>1</v>
      </c>
      <c r="EE5" s="821">
        <f>IF(ED5&gt;0.2,0.35,VLOOKUP(ED5,'Density Bonus'!$A$1:$B$15,2,FALSE))</f>
        <v>0.35</v>
      </c>
      <c r="EF5" s="822">
        <f t="shared" ref="EF5:EF18" si="75">IF($I5/$AK$3&gt;((1+EE5)*EC5),(1+EE5)*EC5,IF(EC5&gt;($I5/$AK$3),EC5,($I5/$AK$3)))</f>
        <v>291.60000000000002</v>
      </c>
      <c r="EG5" s="822">
        <f t="shared" ref="EG5:EG13" si="76">IF(EE5&gt;0,ROUNDUP(EF5,0),ROUNDDOWN(EF5,0))</f>
        <v>292</v>
      </c>
      <c r="EH5" s="823"/>
      <c r="EI5" s="824">
        <f t="shared" ref="EI5:EI18" si="77">IF(ISBLANK($AT5),ROUND(ED5*EG5,0),$AT5)</f>
        <v>292</v>
      </c>
      <c r="EJ5" s="824">
        <f t="shared" ref="EJ5:EJ18" si="78">EG5-EI5</f>
        <v>0</v>
      </c>
      <c r="EK5" s="825">
        <f t="shared" ref="EK5:EK18" si="79">IF($P5="Yes",$AZ5,IF($E5="Under Agreement",$AZ5,0))</f>
        <v>0</v>
      </c>
      <c r="EL5" s="825">
        <f>IF(ED5&lt;0.4,VLOOKUP($AN5,'Impact Fee'!$A$1:$E$10,5,FALSE)*EJ5,0)</f>
        <v>0</v>
      </c>
      <c r="EM5" s="825">
        <f t="shared" ref="EM5:EM18" si="80">EK5+EL5</f>
        <v>0</v>
      </c>
      <c r="EN5" s="825">
        <f t="shared" ref="EN5:EN18" si="81">IF(ED5&lt;1,$AG5+EL5,0)</f>
        <v>0</v>
      </c>
      <c r="EO5" s="825">
        <f t="shared" ref="EO5:EO18" si="82">IF(ED5&lt;1,IF(FA5="y",EI5*$DG$2,EI5*$DG$3),EI5*$HF$3)</f>
        <v>29711584</v>
      </c>
      <c r="EP5" s="825">
        <f t="shared" ref="EP5:EP18" si="83">IF(ED5&lt;0.4,(0.4-ED5)*EG5*$DH$3,0)</f>
        <v>0</v>
      </c>
      <c r="EQ5" s="825">
        <f t="shared" ref="EQ5:EQ18" si="84">EN5-(EO5-ET5-EU5)</f>
        <v>-34500384</v>
      </c>
      <c r="ER5" s="825">
        <f t="shared" ref="ER5:ER18" si="85">IF(EQ5&gt;0,IF(EP5&gt;EQ5,EQ5,EP5),0)</f>
        <v>0</v>
      </c>
      <c r="ES5" s="825">
        <f t="shared" ref="ES5:ES18" si="86">IF(ED5&lt;1,IF((EN5-(EO5+ER5))&gt;0,EN5-(EO5+ER5),0),0)</f>
        <v>0</v>
      </c>
      <c r="ET5" s="825">
        <f t="shared" ref="ET5:ET18" si="87">SUM(FD5:FF5)</f>
        <v>-4788800</v>
      </c>
      <c r="EU5" s="825">
        <f t="shared" ref="EU5:EU18" si="88">FG5+FH5</f>
        <v>0</v>
      </c>
      <c r="EV5" s="825">
        <f t="shared" ref="EV5:EV18" si="89">IF(ED5&lt;1,IF((EN5-(EO5+ER5-ET5-EU5))&gt;0,EN5-(EO5+ER5-ET5-EU5),0),0)</f>
        <v>0</v>
      </c>
      <c r="EW5" s="825">
        <f>VLOOKUP($AI5,Funding!$A$1:$G$6,6,FALSE)*EV5</f>
        <v>0</v>
      </c>
      <c r="EX5" s="825">
        <f t="shared" ref="EX5:EX18" si="90">SUM(EK5,ER5,EW5)</f>
        <v>0</v>
      </c>
      <c r="EY5" s="825">
        <f t="shared" ref="EY5:EY18" si="91">IF((EN5-(EO5+ER5-ET5-EU5))&lt;0,EN5-(EO5+ER5-ET5-EU5),0)</f>
        <v>-34500384</v>
      </c>
      <c r="EZ5" s="825">
        <f t="shared" ref="EZ5:EZ18" si="92">EX5+EY5</f>
        <v>-34500384</v>
      </c>
      <c r="FA5" s="825"/>
      <c r="FB5" s="825">
        <f t="shared" ref="FB5:FB18" si="93">IF(FA5="y",EG5*$BF$2,EG5*$BF$3)</f>
        <v>95776000</v>
      </c>
      <c r="FC5" s="825">
        <f t="shared" ref="FC5:FC18" si="94">($ME5*$MJ5)+($MF5*$MK5)+($MH5*$MM5)+($MI5*$MN5)</f>
        <v>0</v>
      </c>
      <c r="FD5" s="825">
        <f t="shared" ref="FD5:FD18" si="95">IF(EG5&gt;79,IF(ED5&gt;0,-$BJ$2*FB5,0),0)</f>
        <v>-4788800</v>
      </c>
      <c r="FE5" s="825">
        <f t="shared" ref="FE5:FE18" si="96">IF(EG5&gt;79,IF(ED5=0,-$BJ$2*FB5,0),0)</f>
        <v>0</v>
      </c>
      <c r="FF5" s="825">
        <f t="shared" ref="FF5:FF18" si="97">IF(FC5&gt;$DX$3,-$BJ$2*FC5,0)</f>
        <v>0</v>
      </c>
      <c r="FG5" s="825">
        <f t="shared" ref="FG5:FG18" si="98">IF(EG5&gt;79,IF(ED5=1,0,-$BM$2*FB5),0)</f>
        <v>0</v>
      </c>
      <c r="FH5" s="825">
        <f t="shared" ref="FH5:FH18" si="99">IF(FC5&gt;$DZ$3,-$BM$2*FC5,0)</f>
        <v>0</v>
      </c>
      <c r="FI5" s="545"/>
      <c r="FJ5" s="546"/>
      <c r="FK5" s="546"/>
      <c r="FL5" s="545">
        <f t="shared" ref="FL5:FL18" si="100">IF(ISBLANK(FI5),ROUNDDOWN($AS5,0),ROUNDDOWN(FI5,0))</f>
        <v>216</v>
      </c>
      <c r="FM5" s="547">
        <v>0.15</v>
      </c>
      <c r="FN5" s="547">
        <f>IF(FM5&gt;0.2,0.35,VLOOKUP(FM5,'Density Bonus'!$A$1:$B$15,2,FALSE))</f>
        <v>0.27500000000000002</v>
      </c>
      <c r="FO5" s="548">
        <f t="shared" ref="FO5:FO18" si="101">IF($I5/$AK$3&gt;((1+FN5)*FL5),(1+FN5)*FL5,IF(FL5&gt;($I5/$AK$3),FL5,($I5/$AK$3)))</f>
        <v>275.39999999999998</v>
      </c>
      <c r="FP5" s="548">
        <f t="shared" ref="FP5:FP13" si="102">IF(FN5&gt;0,ROUNDUP(FO5,0),ROUNDDOWN(FO5,0))</f>
        <v>276</v>
      </c>
      <c r="FQ5" s="347"/>
      <c r="FR5" s="549">
        <f t="shared" ref="FR5:FR18" si="103">IF(ISBLANK($AT5),ROUND(FM5*FP5,0),$AT5)</f>
        <v>41</v>
      </c>
      <c r="FS5" s="549">
        <f t="shared" ref="FS5:FS18" si="104">FP5-FR5</f>
        <v>235</v>
      </c>
      <c r="FT5" s="550">
        <f t="shared" ref="FT5:FT18" si="105">IF($P5="Yes",$AZ5,IF($E5="Under Agreement",$AZ5,0))</f>
        <v>0</v>
      </c>
      <c r="FU5" s="550">
        <f>IF(FM5&lt;0.15,(VLOOKUP($AN5,'Impact Fee'!$A$1:$E$10,5,FALSE)*FS5),0)</f>
        <v>0</v>
      </c>
      <c r="FV5" s="550">
        <f t="shared" ref="FV5:FV18" si="106">FT5+FU5</f>
        <v>0</v>
      </c>
      <c r="FW5" s="550">
        <f t="shared" ref="FW5:FW18" si="107">$AG5</f>
        <v>11766480</v>
      </c>
      <c r="FX5" s="550">
        <f t="shared" ref="FX5:FX18" si="108">IF(GE5="y",FR5*$FX$2,FR5*$FX$3)</f>
        <v>9207222.3999999985</v>
      </c>
      <c r="FY5" s="550">
        <f t="shared" ref="FY5:FY18" si="109">IF(FM5&lt;0.4,(0.4-FM5)*FP5*FY$3,0)</f>
        <v>0</v>
      </c>
      <c r="FZ5" s="550">
        <f t="shared" ref="FZ5:FZ18" si="110">IF((FW5-(FX5+FY5))&gt;0,FW5-(FX5+FY5),0)</f>
        <v>2559257.6000000015</v>
      </c>
      <c r="GA5" s="550">
        <f>VLOOKUP($AI5,Funding!$A$1:$G$6,3,FALSE)*FZ5</f>
        <v>2559257.6000000015</v>
      </c>
      <c r="GB5" s="550">
        <f t="shared" ref="GB5:GB18" si="111">SUM(FV5,FY5,GA5)</f>
        <v>2559257.6000000015</v>
      </c>
      <c r="GC5" s="550">
        <f t="shared" ref="GC5:GC18" si="112">IF((FW5-(FX5+FY5))&lt;0,FW5-(FX5+FY5),0)</f>
        <v>0</v>
      </c>
      <c r="GD5" s="550">
        <f t="shared" ref="GD5:GD18" si="113">GB5+GC5</f>
        <v>2559257.6000000015</v>
      </c>
      <c r="GE5" s="550"/>
      <c r="GF5" s="550">
        <f t="shared" ref="GF5:GF18" si="114">IF(GE5="y",FP5*$BF$2,FP5*$BF$3)</f>
        <v>90528000</v>
      </c>
      <c r="GG5" s="550">
        <f t="shared" ref="GG5:GG18" si="115">DU5</f>
        <v>0</v>
      </c>
      <c r="GH5" s="550">
        <f t="shared" ref="GH5:GH18" si="116">IF(FP5&gt;79,IF(FM5&gt;0,-$BJ$2*GF5,0),0)</f>
        <v>-4526400</v>
      </c>
      <c r="GI5" s="550">
        <f t="shared" ref="GI5:GI18" si="117">IF(FP5&gt;79,IF(FM5=0,-$BJ$2*GF5,0),0)</f>
        <v>0</v>
      </c>
      <c r="GJ5" s="550">
        <f t="shared" ref="GJ5:GJ18" si="118">IF(GG5&gt;$DX$3,-$BJ$2*GG5,0)</f>
        <v>0</v>
      </c>
      <c r="GK5" s="550">
        <f t="shared" ref="GK5:GK18" si="119">SUM(GH5:GJ5)</f>
        <v>-4526400</v>
      </c>
      <c r="GL5" s="550">
        <f t="shared" ref="GL5:GL18" si="120">IF(FP5&gt;79,IF(FM5=1,0,-$BM$2*GF5),0)</f>
        <v>-4526400</v>
      </c>
      <c r="GM5" s="550">
        <f t="shared" ref="GM5:GM18" si="121">IF(GG5&gt;$DZ$3,-$BM$2*GG5,0)</f>
        <v>0</v>
      </c>
      <c r="GN5" s="550">
        <f t="shared" ref="GN5:GN18" si="122">GL5+GM5</f>
        <v>-4526400</v>
      </c>
      <c r="GO5" s="199"/>
      <c r="GP5" s="275"/>
      <c r="GQ5" s="199">
        <f t="shared" ref="GQ5:GQ18" si="123">IF(ISBLANK(GO5),ROUNDDOWN(AS5,0),ROUNDDOWN(GO5,0))</f>
        <v>216</v>
      </c>
      <c r="GR5" s="34">
        <v>1</v>
      </c>
      <c r="GS5" s="34">
        <f>IF(GR5&gt;0.2,0.35,VLOOKUP(GR5,'Density Bonus'!$A$1:$B$15,2,FALSE))</f>
        <v>0.35</v>
      </c>
      <c r="GT5" s="235">
        <f t="shared" ref="GT5:GT18" si="124">IF($I5/$AK$3&gt;((1+GS5)*GQ5),(1+GS5)*GQ5,IF(GQ5&gt;($I5/$AK$3),GQ5,($I5/$AK$3)))</f>
        <v>291.60000000000002</v>
      </c>
      <c r="GU5" s="235">
        <f t="shared" ref="GU5:GU13" si="125">IF(GS5&gt;0,ROUNDUP(GT5,0),ROUNDDOWN(GT5,0))</f>
        <v>292</v>
      </c>
      <c r="GV5" s="347"/>
      <c r="GW5" s="31">
        <f t="shared" ref="GW5:GW18" si="126">IF(ISBLANK($AT5),GR5*GU5,$AT5)</f>
        <v>292</v>
      </c>
      <c r="GX5" s="31">
        <f t="shared" ref="GX5:GX18" si="127">GU5-GW5</f>
        <v>0</v>
      </c>
      <c r="GY5" s="196" t="str">
        <f t="shared" ref="GY5:GY18" si="128">IF($P5="Yes",$AZ5,IF($E5="Under Agreement",$AZ5,""))</f>
        <v/>
      </c>
      <c r="GZ5" s="238">
        <f t="shared" ref="GZ5:GZ18" si="129">IF(GR5&lt;1,$AG5+($AZ5-GY5),0)</f>
        <v>0</v>
      </c>
      <c r="HA5" s="238">
        <f t="shared" ref="HA5:HA18" si="130">SUM(HK5:HM5)</f>
        <v>-4788800</v>
      </c>
      <c r="HB5" s="238">
        <f t="shared" ref="HB5:HB18" si="131">HN5+HO5</f>
        <v>0</v>
      </c>
      <c r="HC5" s="238">
        <f>IF(GR5&lt;1,IF((GZ5+HA5+HB5)&gt;0,GZ5+HA5+HB5,0),0)</f>
        <v>0</v>
      </c>
      <c r="HD5" s="238">
        <f>VLOOKUP($AI5,Funding!$A$1:$G$6,7,FALSE)*HC5</f>
        <v>0</v>
      </c>
      <c r="HE5" s="238">
        <f>SUM(GY5,HD5)</f>
        <v>0</v>
      </c>
      <c r="HF5" s="238">
        <f>IF((GZ5+(-GW5*$HF$3)+HA5+HB5)&lt;0,GZ5+(-GW5*$HF$3)+HA5+HB5,0)</f>
        <v>-34500384</v>
      </c>
      <c r="HG5" s="238">
        <f t="shared" ref="HG5:HG18" si="132">HE5+HF5</f>
        <v>-34500384</v>
      </c>
      <c r="HH5" s="238"/>
      <c r="HI5" s="238">
        <f t="shared" ref="HI5:HI18" si="133">IF(HH5="y",GU5*$BF$2,GU5*$BF$3)</f>
        <v>95776000</v>
      </c>
      <c r="HJ5" s="238">
        <f t="shared" ref="HJ5:HJ18" si="134">$BG5</f>
        <v>0</v>
      </c>
      <c r="HK5" s="238">
        <f t="shared" ref="HK5:HK18" si="135">IF(GU5&gt;79,IF(GR5&gt;0,-$BJ$2*HI5,0),0)</f>
        <v>-4788800</v>
      </c>
      <c r="HL5" s="238">
        <f t="shared" ref="HL5:HL18" si="136">IF(GU5&gt;79,IF(GR5=0,-$BJ$2*HI5,0),0)</f>
        <v>0</v>
      </c>
      <c r="HM5" s="238">
        <f t="shared" ref="HM5:HM18" si="137">IF(HJ5&gt;$HM$3,-$BJ$2*HJ5,0)</f>
        <v>0</v>
      </c>
      <c r="HN5" s="238">
        <f t="shared" ref="HN5:HN18" si="138">IF(GU5&gt;79,-$BM$2*HI5*(1-GR5),0)</f>
        <v>0</v>
      </c>
      <c r="HO5" s="238">
        <f t="shared" ref="HO5:HO18" si="139">IF(HJ5&gt;$HO$3,-$BM$2*HJ5,0)</f>
        <v>0</v>
      </c>
      <c r="HP5" s="397"/>
      <c r="HQ5" s="424"/>
      <c r="HR5" s="426">
        <f t="shared" ref="HR5:HR18" si="140">AH5</f>
        <v>11766480</v>
      </c>
      <c r="HS5" s="425">
        <f t="shared" ref="HS5:HS18" si="141">AT5</f>
        <v>0</v>
      </c>
      <c r="HT5" s="425">
        <f t="shared" ref="HT5:HT18" si="142">AU5</f>
        <v>216</v>
      </c>
      <c r="HU5" s="429">
        <f t="shared" ref="HU5:HY11" si="143">J5</f>
        <v>0</v>
      </c>
      <c r="HV5" s="429">
        <f t="shared" si="143"/>
        <v>0</v>
      </c>
      <c r="HW5" s="429">
        <f t="shared" si="143"/>
        <v>0</v>
      </c>
      <c r="HX5" s="429">
        <f t="shared" si="143"/>
        <v>0</v>
      </c>
      <c r="HY5" s="429">
        <f t="shared" si="143"/>
        <v>0</v>
      </c>
      <c r="HZ5" s="426">
        <f t="shared" ref="HZ5:HZ18" si="144">IF(BE5="y",$BF$2,$BF$3)</f>
        <v>328000</v>
      </c>
      <c r="IA5" s="426"/>
      <c r="IB5" s="426"/>
      <c r="IC5" s="425"/>
      <c r="ID5" s="425"/>
      <c r="IE5" s="425"/>
      <c r="IF5" s="427">
        <f>((HR5+(HT5*HZ5)+(HU5*IA5)+(HV5*IB5)+(HW5*IC5)+(HX5*ID5))*0.01*0.29)</f>
        <v>239581.992</v>
      </c>
      <c r="IG5" s="428">
        <f t="shared" ref="IG5:IG18" si="145">((1.17*IF5/0.29)*0.39)-IF5</f>
        <v>137387.88024</v>
      </c>
      <c r="IH5" s="428">
        <f t="shared" ref="IH5:IH18" si="146">HV5*400*0.01</f>
        <v>0</v>
      </c>
      <c r="II5" s="428">
        <f t="shared" ref="II5:II18" si="147">(HT5*(IF(HQ5="Downtown",$HZ$1,$HZ$2))*12*0.01395)+(HU5*(IF(HQ5="Downtown",$IA$1,$IA$2))*12*0.01395)+(HV5*(IF(HQ5="Downtown",$IB$1,$IB$2))*12*0.01395)+(HW5*(IF(HQ5="Downtown",$IC$1,$IC$2))*12*0.0018)+(HX5*(IF(HQ5="Downtown",$ID$1,$ID$2))*12*0.01395)</f>
        <v>91308.99960000001</v>
      </c>
      <c r="IJ5" s="428">
        <f t="shared" ref="IJ5:IJ18" si="148">HW5*$IC$1*12*0.14</f>
        <v>0</v>
      </c>
      <c r="IK5" s="428">
        <f t="shared" ref="IK5:IK18" si="149">SUM(IF5:IJ5)</f>
        <v>468278.87184000004</v>
      </c>
      <c r="IL5" s="429">
        <f t="shared" ref="IL5:IL18" si="150">(HU5/300)+(HV5/500)+(HW5/1.33)+(HX5/1000)</f>
        <v>0</v>
      </c>
      <c r="IM5" s="427">
        <f>Sites!AG5</f>
        <v>11766480</v>
      </c>
      <c r="IN5" s="428">
        <f t="shared" ref="IN5:IN18" si="151">0.015*IM5</f>
        <v>176497.19999999998</v>
      </c>
      <c r="IO5" s="429">
        <f t="shared" ref="IO5:IO18" si="152">(((HS5+HT5)*HZ5)+(HU5*IA5)+(HV5*IB5)+(HW5*IC5)+(HX5*ID5))/$IO$1</f>
        <v>354.24</v>
      </c>
      <c r="IP5" s="426">
        <f t="shared" ref="IP5:IP18" si="153">SUM(IT5:JW5)</f>
        <v>16364078.886730822</v>
      </c>
      <c r="IQ5" s="426">
        <f t="shared" ref="IQ5:IQ18" si="154">NPV(5%,IT5:JW5)</f>
        <v>8987952.1172720194</v>
      </c>
      <c r="IR5" s="430">
        <v>2024</v>
      </c>
      <c r="IS5" s="431"/>
      <c r="IT5" s="431"/>
      <c r="IU5" s="431"/>
      <c r="IV5" s="431"/>
      <c r="IW5" s="428"/>
      <c r="IX5" s="428"/>
      <c r="IY5" s="428"/>
      <c r="IZ5" s="428">
        <f t="shared" ref="IZ5:JI18" si="155">IZ$4*$IK5</f>
        <v>537905.22854558192</v>
      </c>
      <c r="JA5" s="428">
        <f t="shared" si="155"/>
        <v>548663.33311649365</v>
      </c>
      <c r="JB5" s="428">
        <f t="shared" si="155"/>
        <v>559636.59977882355</v>
      </c>
      <c r="JC5" s="428">
        <f t="shared" si="155"/>
        <v>570829.33177440008</v>
      </c>
      <c r="JD5" s="428">
        <f t="shared" si="155"/>
        <v>582245.91840988793</v>
      </c>
      <c r="JE5" s="428">
        <f t="shared" si="155"/>
        <v>593890.8367780858</v>
      </c>
      <c r="JF5" s="428">
        <f t="shared" si="155"/>
        <v>605768.6535136475</v>
      </c>
      <c r="JG5" s="428">
        <f t="shared" si="155"/>
        <v>617884.02658392047</v>
      </c>
      <c r="JH5" s="428">
        <f t="shared" si="155"/>
        <v>630241.70711559872</v>
      </c>
      <c r="JI5" s="428">
        <f t="shared" si="155"/>
        <v>642846.54125791078</v>
      </c>
      <c r="JJ5" s="428">
        <f t="shared" ref="JJ5:JW18" si="156">JJ$4*$IK5</f>
        <v>655703.47208306903</v>
      </c>
      <c r="JK5" s="428">
        <f t="shared" si="156"/>
        <v>668817.54152473039</v>
      </c>
      <c r="JL5" s="428">
        <f t="shared" si="156"/>
        <v>682193.89235522493</v>
      </c>
      <c r="JM5" s="428">
        <f t="shared" si="156"/>
        <v>695837.7702023295</v>
      </c>
      <c r="JN5" s="428">
        <f t="shared" si="156"/>
        <v>709754.52560637612</v>
      </c>
      <c r="JO5" s="428">
        <f t="shared" si="156"/>
        <v>723949.61611850362</v>
      </c>
      <c r="JP5" s="428">
        <f t="shared" si="156"/>
        <v>738428.60844087356</v>
      </c>
      <c r="JQ5" s="428">
        <f t="shared" si="156"/>
        <v>753197.18060969107</v>
      </c>
      <c r="JR5" s="428">
        <f t="shared" si="156"/>
        <v>768261.12422188488</v>
      </c>
      <c r="JS5" s="428">
        <f t="shared" si="156"/>
        <v>783626.34670632263</v>
      </c>
      <c r="JT5" s="428">
        <f t="shared" si="156"/>
        <v>799298.87364044902</v>
      </c>
      <c r="JU5" s="428">
        <f t="shared" si="156"/>
        <v>815284.85111325816</v>
      </c>
      <c r="JV5" s="428">
        <f t="shared" si="156"/>
        <v>831590.54813552322</v>
      </c>
      <c r="JW5" s="428">
        <f t="shared" si="156"/>
        <v>848222.35909823375</v>
      </c>
      <c r="JX5" s="432"/>
      <c r="JY5" s="435">
        <f t="shared" ref="JY5:JY18" si="157">BV5</f>
        <v>292</v>
      </c>
      <c r="JZ5" s="435">
        <f t="shared" ref="JZ5:JZ18" si="158">BW5</f>
        <v>0</v>
      </c>
      <c r="KA5" s="435">
        <f t="shared" ref="KA5:KA18" si="159">J5</f>
        <v>0</v>
      </c>
      <c r="KB5" s="435">
        <f t="shared" ref="KB5:KB18" si="160">K5</f>
        <v>0</v>
      </c>
      <c r="KC5" s="435">
        <f t="shared" ref="KC5:KC18" si="161">L5</f>
        <v>0</v>
      </c>
      <c r="KD5" s="435">
        <f t="shared" ref="KD5:KD18" si="162">M5</f>
        <v>0</v>
      </c>
      <c r="KE5" s="435">
        <f t="shared" ref="KE5:KE18" si="163">N5</f>
        <v>0</v>
      </c>
      <c r="KF5" s="432">
        <f t="shared" ref="KF5:KF18" si="164">IF(CI5="y",$BF$2,$BF$3)</f>
        <v>328000</v>
      </c>
      <c r="KG5" s="445">
        <f t="shared" ref="KG5:KG18" si="165">IA5</f>
        <v>0</v>
      </c>
      <c r="KH5" s="445">
        <f t="shared" ref="KH5:KH18" si="166">IB5</f>
        <v>0</v>
      </c>
      <c r="KI5" s="445">
        <f t="shared" ref="KI5:KI18" si="167">IC5</f>
        <v>0</v>
      </c>
      <c r="KJ5" s="445">
        <f t="shared" ref="KJ5:KJ18" si="168">ID5</f>
        <v>0</v>
      </c>
      <c r="KK5" s="445">
        <f t="shared" ref="KK5:KK18" si="169">IE5</f>
        <v>0</v>
      </c>
      <c r="KL5" s="434">
        <v>0</v>
      </c>
      <c r="KM5" s="432">
        <f t="shared" ref="KM5:KM18" si="170">((1.17*KL5/0.29)*0.39)-KL5</f>
        <v>0</v>
      </c>
      <c r="KN5" s="432">
        <f t="shared" ref="KN5:KN18" si="171">KB5*400*0.01</f>
        <v>0</v>
      </c>
      <c r="KO5" s="432">
        <f t="shared" ref="KO5:KO18" si="172">(JZ5*(IF($HQ5="Downtown",$HZ$1,$HZ$2))*12*0.01395)+(KA5*(IF($HQ5="Downtown",$IA$1,$IA$2))*12*0.01395)+(KB5*(IF($HQ5="Downtown",$IB$1,$IB$2))*12*0.01395)+(KC5*(IF($HQ5="Downtown",$IC$1,$IC$2))*12*0.0018)+(KD5*(IF($HQ5="Downtown",$ID$1,$ID$2))*12*0.01395)</f>
        <v>0</v>
      </c>
      <c r="KP5" s="432">
        <f t="shared" ref="KP5:KP18" si="173">KC5*$IC$1*12*0.14</f>
        <v>0</v>
      </c>
      <c r="KQ5" s="432">
        <f t="shared" ref="KQ5:KQ18" si="174">SUM(KL5:KP5)</f>
        <v>0</v>
      </c>
      <c r="KR5" s="435">
        <f t="shared" ref="KR5:KR18" si="175">(KA5/300)+(KB5/500)+(KC5/1.33)+(KD5/1000)</f>
        <v>0</v>
      </c>
      <c r="KS5" s="434">
        <f t="shared" ref="KS5:KS18" si="176">CD5</f>
        <v>0</v>
      </c>
      <c r="KT5" s="432">
        <f t="shared" ref="KT5:KT18" si="177">0.015*KS5</f>
        <v>0</v>
      </c>
      <c r="KU5" s="435">
        <f t="shared" ref="KU5:KU18" si="178">(((JY5+JZ5)*KF5)+(KA5*KG5)+(KB5*KH5)+(KC5*KI5)+(KD5*KJ5))/$IO$1</f>
        <v>478.88</v>
      </c>
      <c r="KV5" s="433">
        <f t="shared" ref="KV5:KV18" si="179">SUM(KZ5:MC5)</f>
        <v>0</v>
      </c>
      <c r="KW5" s="433">
        <f t="shared" ref="KW5:KW18" si="180">NPV(5%,KZ5:MC5)</f>
        <v>0</v>
      </c>
      <c r="KX5" s="436">
        <f t="shared" ref="KX5:KX18" si="181">IR5</f>
        <v>2024</v>
      </c>
      <c r="KY5" s="411"/>
      <c r="KZ5" s="411"/>
      <c r="LA5" s="411"/>
      <c r="LB5" s="411"/>
      <c r="LC5" s="411"/>
      <c r="LD5" s="411"/>
      <c r="LE5" s="411"/>
      <c r="LF5" s="446">
        <f t="shared" ref="LF5:LO18" si="182">LF$4*$KQ5</f>
        <v>0</v>
      </c>
      <c r="LG5" s="446">
        <f t="shared" si="182"/>
        <v>0</v>
      </c>
      <c r="LH5" s="446">
        <f t="shared" si="182"/>
        <v>0</v>
      </c>
      <c r="LI5" s="446">
        <f t="shared" si="182"/>
        <v>0</v>
      </c>
      <c r="LJ5" s="446">
        <f t="shared" si="182"/>
        <v>0</v>
      </c>
      <c r="LK5" s="446">
        <f t="shared" si="182"/>
        <v>0</v>
      </c>
      <c r="LL5" s="446">
        <f t="shared" si="182"/>
        <v>0</v>
      </c>
      <c r="LM5" s="446">
        <f t="shared" si="182"/>
        <v>0</v>
      </c>
      <c r="LN5" s="446">
        <f t="shared" si="182"/>
        <v>0</v>
      </c>
      <c r="LO5" s="446">
        <f t="shared" si="182"/>
        <v>0</v>
      </c>
      <c r="LP5" s="446">
        <f t="shared" ref="LP5:MC18" si="183">LP$4*$KQ5</f>
        <v>0</v>
      </c>
      <c r="LQ5" s="446">
        <f t="shared" si="183"/>
        <v>0</v>
      </c>
      <c r="LR5" s="446">
        <f t="shared" si="183"/>
        <v>0</v>
      </c>
      <c r="LS5" s="446">
        <f t="shared" si="183"/>
        <v>0</v>
      </c>
      <c r="LT5" s="446">
        <f t="shared" si="183"/>
        <v>0</v>
      </c>
      <c r="LU5" s="446">
        <f t="shared" si="183"/>
        <v>0</v>
      </c>
      <c r="LV5" s="446">
        <f t="shared" si="183"/>
        <v>0</v>
      </c>
      <c r="LW5" s="446">
        <f t="shared" si="183"/>
        <v>0</v>
      </c>
      <c r="LX5" s="446">
        <f t="shared" si="183"/>
        <v>0</v>
      </c>
      <c r="LY5" s="446">
        <f t="shared" si="183"/>
        <v>0</v>
      </c>
      <c r="LZ5" s="446">
        <f t="shared" si="183"/>
        <v>0</v>
      </c>
      <c r="MA5" s="446">
        <f t="shared" si="183"/>
        <v>0</v>
      </c>
      <c r="MB5" s="446">
        <f t="shared" si="183"/>
        <v>0</v>
      </c>
      <c r="MC5" s="446">
        <f t="shared" si="183"/>
        <v>0</v>
      </c>
      <c r="MD5" s="496"/>
      <c r="ME5" s="497">
        <f t="shared" ref="ME5:ME18" si="184">IF($E5="Under Agreement",J5,IF($P5="Yes",J5,0))</f>
        <v>0</v>
      </c>
      <c r="MF5" s="497">
        <f t="shared" ref="MF5:MF18" si="185">IF($E5="Under Agreement",K5,IF($P5="Yes",K5,0))</f>
        <v>0</v>
      </c>
      <c r="MG5" s="497">
        <f t="shared" ref="MG5:MG18" si="186">IF($E5="Under Agreement",L5,IF($P5="Yes",L5,0))</f>
        <v>0</v>
      </c>
      <c r="MH5" s="497">
        <f t="shared" ref="MH5:MH18" si="187">IF($E5="Under Agreement",M5,IF($P5="Yes",M5,0))</f>
        <v>0</v>
      </c>
      <c r="MI5" s="497">
        <f t="shared" ref="MI5:MI18" si="188">IF($E5="Under Agreement",N5,IF($P5="Yes",N5,0))</f>
        <v>0</v>
      </c>
      <c r="MJ5" s="498">
        <f t="shared" ref="MJ5:MJ18" si="189">IA5</f>
        <v>0</v>
      </c>
      <c r="MK5" s="498">
        <f t="shared" ref="MK5:MK18" si="190">IB5</f>
        <v>0</v>
      </c>
      <c r="ML5" s="498">
        <f t="shared" ref="ML5:ML18" si="191">IC5</f>
        <v>0</v>
      </c>
      <c r="MM5" s="498">
        <f t="shared" ref="MM5:MM18" si="192">ID5</f>
        <v>0</v>
      </c>
      <c r="MN5" s="498">
        <f t="shared" ref="MN5:MN18" si="193">IE5</f>
        <v>0</v>
      </c>
      <c r="MO5" s="454"/>
      <c r="MP5" s="448">
        <f t="shared" ref="MP5:MP18" si="194">GW5</f>
        <v>292</v>
      </c>
      <c r="MQ5" s="448">
        <f t="shared" ref="MQ5:MQ18" si="195">GX5</f>
        <v>0</v>
      </c>
      <c r="MR5" s="448">
        <f t="shared" ref="MR5:MR18" si="196">IF($E5="Under Agreement",J5,IF($P5="Yes",J5,0))</f>
        <v>0</v>
      </c>
      <c r="MS5" s="448">
        <f t="shared" ref="MS5:MS18" si="197">IF($E5="Under Agreement",K5,IF($P5="Yes",K5,0))</f>
        <v>0</v>
      </c>
      <c r="MT5" s="448">
        <f t="shared" ref="MT5:MT18" si="198">IF($E5="Under Agreement",L5,IF($P5="Yes",L5,0))</f>
        <v>0</v>
      </c>
      <c r="MU5" s="448">
        <f t="shared" ref="MU5:MU18" si="199">IF($E5="Under Agreement",M5,IF($P5="Yes",M5,0))</f>
        <v>0</v>
      </c>
      <c r="MV5" s="448">
        <f t="shared" ref="MV5:MV18" si="200">IF($E5="Under Agreement",N5,IF($P5="Yes",N5,0))</f>
        <v>0</v>
      </c>
      <c r="MW5" s="450">
        <f t="shared" ref="MW5:MW18" si="201">IF(HH5="y",$BF$2,$BF$3)</f>
        <v>328000</v>
      </c>
      <c r="MX5" s="450">
        <f t="shared" ref="MX5:MX18" si="202">KG5</f>
        <v>0</v>
      </c>
      <c r="MY5" s="450">
        <f t="shared" ref="MY5:MY18" si="203">KH5</f>
        <v>0</v>
      </c>
      <c r="MZ5" s="450">
        <f t="shared" ref="MZ5:MZ18" si="204">KI5</f>
        <v>0</v>
      </c>
      <c r="NA5" s="450">
        <f t="shared" ref="NA5:NA18" si="205">KJ5</f>
        <v>0</v>
      </c>
      <c r="NB5" s="450">
        <f t="shared" ref="NB5:NB18" si="206">KK5</f>
        <v>0</v>
      </c>
      <c r="NC5" s="451">
        <f t="shared" ref="NC5:NC18" si="207">IF($P5="Yes",$IF5,IF($E5="Under Agreement",$IF5,0))</f>
        <v>0</v>
      </c>
      <c r="ND5" s="449">
        <f t="shared" ref="ND5:ND18" si="208">((1.17*NC5/0.29)*0.39)-NC5</f>
        <v>0</v>
      </c>
      <c r="NE5" s="449">
        <f t="shared" ref="NE5:NE18" si="209">MS5*400*0.01</f>
        <v>0</v>
      </c>
      <c r="NF5" s="449">
        <f t="shared" ref="NF5:NF18" si="210">(MQ5*(IF($HQ5="Downtown",$HZ$1,$HZ$2))*12*0.01395)+(MR5*(IF($HQ5="Downtown",$IA$1,$IA$2))*12*0.01395)+(MS5*(IF($HQ5="Downtown",$IB$1,$IB$2))*12*0.01395)+(MT5*(IF($HQ5="Downtown",$IC$1,$IC$2))*12*0.0018)+(MU5*(IF($HQ5="Downtown",$ID$1,$ID$2))*12*0.01395)</f>
        <v>0</v>
      </c>
      <c r="NG5" s="449">
        <f t="shared" ref="NG5:NG18" si="211">MT5*$IC$1*12*0.14</f>
        <v>0</v>
      </c>
      <c r="NH5" s="449">
        <f t="shared" ref="NH5:NH18" si="212">SUM(NC5:NG5)</f>
        <v>0</v>
      </c>
      <c r="NI5" s="448">
        <f t="shared" ref="NI5:NI18" si="213">(MR5/300)+(MS5/500)+(MT5/1.33)+(MU5/1000)</f>
        <v>0</v>
      </c>
      <c r="NJ5" s="451">
        <f t="shared" ref="NJ5:NJ18" si="214">GZ5</f>
        <v>0</v>
      </c>
      <c r="NK5" s="449">
        <f t="shared" ref="NK5:NK18" si="215">0.015*NJ5</f>
        <v>0</v>
      </c>
      <c r="NL5" s="448">
        <f t="shared" ref="NL5:NL18" si="216">(((MP5+MQ5)*MW5)+(MR5*MX5)+(MS5*MY5)+(MT5*MZ5)+(MU5*NA5))/$IO$1</f>
        <v>478.88</v>
      </c>
      <c r="NM5" s="452">
        <f t="shared" ref="NM5:NM18" si="217">SUM(NQ5:OT5)</f>
        <v>0</v>
      </c>
      <c r="NN5" s="452">
        <f t="shared" ref="NN5:NN18" si="218">NPV(5%,NQ5:OT5)</f>
        <v>0</v>
      </c>
      <c r="NO5" s="453">
        <f t="shared" ref="NO5:NO18" si="219">KX5</f>
        <v>2024</v>
      </c>
      <c r="NP5" s="423"/>
      <c r="NQ5" s="423"/>
      <c r="NR5" s="423"/>
      <c r="NS5" s="423"/>
      <c r="NT5" s="423"/>
      <c r="NU5" s="423"/>
      <c r="NV5" s="423"/>
      <c r="NW5" s="454">
        <f t="shared" ref="NW5:OF18" si="220">NW$4*$NH5</f>
        <v>0</v>
      </c>
      <c r="NX5" s="454">
        <f t="shared" si="220"/>
        <v>0</v>
      </c>
      <c r="NY5" s="454">
        <f t="shared" si="220"/>
        <v>0</v>
      </c>
      <c r="NZ5" s="454">
        <f t="shared" si="220"/>
        <v>0</v>
      </c>
      <c r="OA5" s="454">
        <f t="shared" si="220"/>
        <v>0</v>
      </c>
      <c r="OB5" s="454">
        <f t="shared" si="220"/>
        <v>0</v>
      </c>
      <c r="OC5" s="454">
        <f t="shared" si="220"/>
        <v>0</v>
      </c>
      <c r="OD5" s="454">
        <f t="shared" si="220"/>
        <v>0</v>
      </c>
      <c r="OE5" s="454">
        <f t="shared" si="220"/>
        <v>0</v>
      </c>
      <c r="OF5" s="454">
        <f t="shared" si="220"/>
        <v>0</v>
      </c>
      <c r="OG5" s="454">
        <f t="shared" ref="OG5:OT18" si="221">OG$4*$NH5</f>
        <v>0</v>
      </c>
      <c r="OH5" s="454">
        <f t="shared" si="221"/>
        <v>0</v>
      </c>
      <c r="OI5" s="454">
        <f t="shared" si="221"/>
        <v>0</v>
      </c>
      <c r="OJ5" s="454">
        <f t="shared" si="221"/>
        <v>0</v>
      </c>
      <c r="OK5" s="454">
        <f t="shared" si="221"/>
        <v>0</v>
      </c>
      <c r="OL5" s="454">
        <f t="shared" si="221"/>
        <v>0</v>
      </c>
      <c r="OM5" s="454">
        <f t="shared" si="221"/>
        <v>0</v>
      </c>
      <c r="ON5" s="454">
        <f t="shared" si="221"/>
        <v>0</v>
      </c>
      <c r="OO5" s="454">
        <f t="shared" si="221"/>
        <v>0</v>
      </c>
      <c r="OP5" s="454">
        <f t="shared" si="221"/>
        <v>0</v>
      </c>
      <c r="OQ5" s="454">
        <f t="shared" si="221"/>
        <v>0</v>
      </c>
      <c r="OR5" s="454">
        <f t="shared" si="221"/>
        <v>0</v>
      </c>
      <c r="OS5" s="454">
        <f t="shared" si="221"/>
        <v>0</v>
      </c>
      <c r="OT5" s="454">
        <f t="shared" si="221"/>
        <v>0</v>
      </c>
    </row>
    <row r="6" spans="1:410" s="11" customFormat="1" ht="30">
      <c r="A6" s="19" t="s">
        <v>428</v>
      </c>
      <c r="B6" s="19" t="s">
        <v>336</v>
      </c>
      <c r="C6" s="19" t="s">
        <v>22</v>
      </c>
      <c r="D6" s="19">
        <v>1</v>
      </c>
      <c r="E6" s="19" t="s">
        <v>293</v>
      </c>
      <c r="F6" s="19" t="s">
        <v>420</v>
      </c>
      <c r="G6" s="23">
        <v>6</v>
      </c>
      <c r="H6" s="23"/>
      <c r="I6" s="442">
        <v>6697</v>
      </c>
      <c r="J6" s="20"/>
      <c r="K6" s="20"/>
      <c r="L6" s="20"/>
      <c r="M6" s="20"/>
      <c r="N6" s="20"/>
      <c r="O6" s="442">
        <f t="shared" si="3"/>
        <v>0</v>
      </c>
      <c r="P6" s="21"/>
      <c r="Q6" s="21" t="s">
        <v>41</v>
      </c>
      <c r="R6" s="27">
        <f t="shared" si="4"/>
        <v>74.411111111111111</v>
      </c>
      <c r="S6" s="27">
        <v>20</v>
      </c>
      <c r="T6" s="27">
        <f>I6*S6</f>
        <v>133940</v>
      </c>
      <c r="U6" s="21">
        <v>7</v>
      </c>
      <c r="V6" s="19" t="s">
        <v>31</v>
      </c>
      <c r="W6" s="22" t="s">
        <v>99</v>
      </c>
      <c r="X6" s="19" t="s">
        <v>36</v>
      </c>
      <c r="Y6" s="19"/>
      <c r="Z6" s="19" t="s">
        <v>6</v>
      </c>
      <c r="AA6" s="219" t="s">
        <v>87</v>
      </c>
      <c r="AB6" s="219" t="s">
        <v>88</v>
      </c>
      <c r="AC6" s="224">
        <v>300</v>
      </c>
      <c r="AD6" s="224">
        <f t="shared" si="5"/>
        <v>2009100</v>
      </c>
      <c r="AE6" s="24">
        <f>I6*200</f>
        <v>1339400</v>
      </c>
      <c r="AF6" s="373" t="s">
        <v>444</v>
      </c>
      <c r="AG6" s="220">
        <f t="shared" si="6"/>
        <v>1339400</v>
      </c>
      <c r="AH6" s="220">
        <f t="shared" si="7"/>
        <v>1339400</v>
      </c>
      <c r="AI6" s="24" t="s">
        <v>248</v>
      </c>
      <c r="AJ6" s="228">
        <f>VLOOKUP($Q6,'Zoning Density'!$A$1:$E$28,3,)</f>
        <v>90</v>
      </c>
      <c r="AK6" s="228">
        <f t="shared" si="8"/>
        <v>450</v>
      </c>
      <c r="AL6" s="229">
        <f t="shared" si="9"/>
        <v>74.411111111111111</v>
      </c>
      <c r="AM6" s="229">
        <f t="shared" si="10"/>
        <v>14.882222222222222</v>
      </c>
      <c r="AN6" s="228">
        <v>1</v>
      </c>
      <c r="AO6" s="221">
        <f>VLOOKUP($AI6,Funding!$A$1:$G$6,3,FALSE)*$AG6</f>
        <v>0</v>
      </c>
      <c r="AP6" s="221">
        <f>VLOOKUP($AI6,Funding!$A$1:$G$6,4,FALSE)*$AG6</f>
        <v>1339400</v>
      </c>
      <c r="AQ6" s="351">
        <v>25</v>
      </c>
      <c r="AR6" s="274" t="s">
        <v>276</v>
      </c>
      <c r="AS6" s="222">
        <f t="shared" si="11"/>
        <v>25</v>
      </c>
      <c r="AT6" s="222"/>
      <c r="AU6" s="222">
        <f t="shared" si="12"/>
        <v>25</v>
      </c>
      <c r="AV6" s="221">
        <f>VLOOKUP($AN6,'Impact Fee'!$A$1:$E$20,5,FALSE)*AU6</f>
        <v>550000</v>
      </c>
      <c r="AW6" s="221">
        <f t="shared" si="13"/>
        <v>0</v>
      </c>
      <c r="AX6" s="221"/>
      <c r="AY6" s="321"/>
      <c r="AZ6" s="221">
        <f t="shared" si="14"/>
        <v>550000</v>
      </c>
      <c r="BA6" s="221">
        <f t="shared" si="15"/>
        <v>550000</v>
      </c>
      <c r="BB6" s="221">
        <f t="shared" si="16"/>
        <v>1889400</v>
      </c>
      <c r="BC6" s="271">
        <f t="shared" ref="BC6:BC18" si="222">BA6/$BD$3</f>
        <v>4.4000000000000004</v>
      </c>
      <c r="BD6" s="271">
        <f t="shared" ref="BD6:BD18" si="223">BB6/$BD$3</f>
        <v>15.1152</v>
      </c>
      <c r="BE6" s="271"/>
      <c r="BF6" s="221">
        <f t="shared" si="17"/>
        <v>8200000</v>
      </c>
      <c r="BG6" s="221">
        <f t="shared" si="18"/>
        <v>0</v>
      </c>
      <c r="BH6" s="221">
        <f t="shared" si="19"/>
        <v>0</v>
      </c>
      <c r="BI6" s="221">
        <f t="shared" si="20"/>
        <v>0</v>
      </c>
      <c r="BJ6" s="221">
        <f t="shared" si="21"/>
        <v>0</v>
      </c>
      <c r="BK6" s="221">
        <f t="shared" si="22"/>
        <v>0</v>
      </c>
      <c r="BL6" s="221">
        <f t="shared" si="23"/>
        <v>0</v>
      </c>
      <c r="BM6" s="221">
        <f t="shared" si="24"/>
        <v>0</v>
      </c>
      <c r="BN6" s="259">
        <f>AS6</f>
        <v>25</v>
      </c>
      <c r="BO6" s="260"/>
      <c r="BP6" s="259">
        <f t="shared" si="25"/>
        <v>25</v>
      </c>
      <c r="BQ6" s="261">
        <v>1</v>
      </c>
      <c r="BR6" s="261">
        <f>IF(BQ6&gt;0.2,0.35,VLOOKUP(BQ6,'Density Bonus'!$A$1:$B$15,2,FALSE))</f>
        <v>0.35</v>
      </c>
      <c r="BS6" s="262">
        <f t="shared" si="26"/>
        <v>25</v>
      </c>
      <c r="BT6" s="262">
        <f t="shared" si="27"/>
        <v>25</v>
      </c>
      <c r="BU6" s="349"/>
      <c r="BV6" s="263">
        <f t="shared" si="28"/>
        <v>25</v>
      </c>
      <c r="BW6" s="263">
        <f t="shared" si="29"/>
        <v>0</v>
      </c>
      <c r="BX6" s="264">
        <f t="shared" si="30"/>
        <v>0</v>
      </c>
      <c r="BY6" s="264">
        <f>IF(BQ6&lt;0.15,(VLOOKUP($AN6,'Impact Fee'!$A$1:$E$10,5,FALSE)*BW6),0)</f>
        <v>0</v>
      </c>
      <c r="BZ6" s="264">
        <f t="shared" si="31"/>
        <v>0</v>
      </c>
      <c r="CA6" s="264">
        <f t="shared" si="32"/>
        <v>0</v>
      </c>
      <c r="CB6" s="264">
        <f t="shared" si="33"/>
        <v>0</v>
      </c>
      <c r="CC6" s="264">
        <f t="shared" si="34"/>
        <v>0</v>
      </c>
      <c r="CD6" s="264">
        <f t="shared" si="35"/>
        <v>0</v>
      </c>
      <c r="CE6" s="264">
        <f>CD6*IF(F6="Commercial",CE$3,VLOOKUP($AI6,Funding!$A$1:$G$6,5,FALSE))</f>
        <v>0</v>
      </c>
      <c r="CF6" s="264">
        <f t="shared" si="36"/>
        <v>0</v>
      </c>
      <c r="CG6" s="264">
        <f t="shared" si="37"/>
        <v>-2543800</v>
      </c>
      <c r="CH6" s="264">
        <f t="shared" si="38"/>
        <v>-2543800</v>
      </c>
      <c r="CI6" s="264"/>
      <c r="CJ6" s="264">
        <f t="shared" si="39"/>
        <v>8200000</v>
      </c>
      <c r="CK6" s="264">
        <f t="shared" si="40"/>
        <v>0</v>
      </c>
      <c r="CL6" s="264">
        <f t="shared" si="41"/>
        <v>0</v>
      </c>
      <c r="CM6" s="264">
        <f t="shared" si="42"/>
        <v>0</v>
      </c>
      <c r="CN6" s="264">
        <f t="shared" si="43"/>
        <v>0</v>
      </c>
      <c r="CO6" s="264">
        <f t="shared" si="44"/>
        <v>0</v>
      </c>
      <c r="CP6" s="264">
        <f t="shared" si="45"/>
        <v>0</v>
      </c>
      <c r="CQ6" s="264">
        <f t="shared" si="46"/>
        <v>0</v>
      </c>
      <c r="CR6" s="264">
        <f t="shared" si="47"/>
        <v>0</v>
      </c>
      <c r="CS6" s="520"/>
      <c r="CT6" s="521"/>
      <c r="CU6" s="520">
        <f t="shared" si="48"/>
        <v>25</v>
      </c>
      <c r="CV6" s="522">
        <v>0.15</v>
      </c>
      <c r="CW6" s="522">
        <f>IF(CV6&gt;0.2,0.35,VLOOKUP(CV6,'Density Bonus'!$A$1:$B$15,2,FALSE))</f>
        <v>0.27500000000000002</v>
      </c>
      <c r="CX6" s="523">
        <f t="shared" si="49"/>
        <v>25</v>
      </c>
      <c r="CY6" s="523">
        <f t="shared" si="50"/>
        <v>25</v>
      </c>
      <c r="CZ6" s="347"/>
      <c r="DA6" s="524">
        <f t="shared" si="51"/>
        <v>4</v>
      </c>
      <c r="DB6" s="524">
        <f t="shared" si="52"/>
        <v>21</v>
      </c>
      <c r="DC6" s="525">
        <f t="shared" si="53"/>
        <v>0</v>
      </c>
      <c r="DD6" s="525">
        <f>IF(CV6&lt;0.4,VLOOKUP($AN6,'Impact Fee'!$A$1:$E$10,5,FALSE)*DB6,0)</f>
        <v>462000</v>
      </c>
      <c r="DE6" s="525">
        <f t="shared" si="54"/>
        <v>462000</v>
      </c>
      <c r="DF6" s="525">
        <f t="shared" si="55"/>
        <v>1801400</v>
      </c>
      <c r="DG6" s="525">
        <f t="shared" si="56"/>
        <v>898265.59999999986</v>
      </c>
      <c r="DH6" s="525">
        <f t="shared" si="57"/>
        <v>635950</v>
      </c>
      <c r="DI6" s="525">
        <f t="shared" si="58"/>
        <v>903134.40000000014</v>
      </c>
      <c r="DJ6" s="525">
        <f t="shared" si="59"/>
        <v>635950</v>
      </c>
      <c r="DK6" s="525">
        <f t="shared" si="60"/>
        <v>267184.40000000014</v>
      </c>
      <c r="DL6" s="525">
        <f t="shared" si="61"/>
        <v>0</v>
      </c>
      <c r="DM6" s="525">
        <f t="shared" si="62"/>
        <v>0</v>
      </c>
      <c r="DN6" s="525">
        <f t="shared" si="63"/>
        <v>267184.40000000014</v>
      </c>
      <c r="DO6" s="525">
        <f>VLOOKUP($AI6,Funding!$A$1:$G$6,6,FALSE)*DN6</f>
        <v>267184.40000000014</v>
      </c>
      <c r="DP6" s="525">
        <f t="shared" si="64"/>
        <v>903134.40000000014</v>
      </c>
      <c r="DQ6" s="525">
        <f t="shared" si="65"/>
        <v>0</v>
      </c>
      <c r="DR6" s="525">
        <f t="shared" si="66"/>
        <v>903134.40000000014</v>
      </c>
      <c r="DS6" s="525"/>
      <c r="DT6" s="525">
        <f t="shared" si="67"/>
        <v>8200000</v>
      </c>
      <c r="DU6" s="525">
        <f t="shared" si="68"/>
        <v>0</v>
      </c>
      <c r="DV6" s="525">
        <f t="shared" si="69"/>
        <v>0</v>
      </c>
      <c r="DW6" s="525">
        <f t="shared" si="70"/>
        <v>0</v>
      </c>
      <c r="DX6" s="525">
        <f t="shared" si="71"/>
        <v>0</v>
      </c>
      <c r="DY6" s="525">
        <f t="shared" si="72"/>
        <v>0</v>
      </c>
      <c r="DZ6" s="525">
        <f t="shared" si="73"/>
        <v>0</v>
      </c>
      <c r="EA6" s="819"/>
      <c r="EB6" s="820"/>
      <c r="EC6" s="819">
        <f t="shared" si="74"/>
        <v>25</v>
      </c>
      <c r="ED6" s="821">
        <v>0.15</v>
      </c>
      <c r="EE6" s="821">
        <f>IF(ED6&gt;0.2,0.35,VLOOKUP(ED6,'Density Bonus'!$A$1:$B$15,2,FALSE))</f>
        <v>0.27500000000000002</v>
      </c>
      <c r="EF6" s="822">
        <f t="shared" si="75"/>
        <v>25</v>
      </c>
      <c r="EG6" s="822">
        <f t="shared" si="76"/>
        <v>25</v>
      </c>
      <c r="EH6" s="823"/>
      <c r="EI6" s="824">
        <f t="shared" si="77"/>
        <v>4</v>
      </c>
      <c r="EJ6" s="824">
        <f t="shared" si="78"/>
        <v>21</v>
      </c>
      <c r="EK6" s="825">
        <f t="shared" si="79"/>
        <v>0</v>
      </c>
      <c r="EL6" s="825">
        <f>IF(ED6&lt;0.4,VLOOKUP($AN6,'Impact Fee'!$A$1:$E$10,5,FALSE)*EJ6,0)</f>
        <v>462000</v>
      </c>
      <c r="EM6" s="825">
        <f t="shared" si="80"/>
        <v>462000</v>
      </c>
      <c r="EN6" s="825">
        <f t="shared" si="81"/>
        <v>1801400</v>
      </c>
      <c r="EO6" s="825">
        <f t="shared" si="82"/>
        <v>898265.59999999986</v>
      </c>
      <c r="EP6" s="825">
        <f t="shared" si="83"/>
        <v>635950</v>
      </c>
      <c r="EQ6" s="825">
        <f t="shared" si="84"/>
        <v>903134.40000000014</v>
      </c>
      <c r="ER6" s="825">
        <f t="shared" si="85"/>
        <v>635950</v>
      </c>
      <c r="ES6" s="825">
        <f t="shared" si="86"/>
        <v>267184.40000000014</v>
      </c>
      <c r="ET6" s="825">
        <f t="shared" si="87"/>
        <v>0</v>
      </c>
      <c r="EU6" s="825">
        <f t="shared" si="88"/>
        <v>0</v>
      </c>
      <c r="EV6" s="825">
        <f t="shared" si="89"/>
        <v>267184.40000000014</v>
      </c>
      <c r="EW6" s="825">
        <f>VLOOKUP($AI6,Funding!$A$1:$G$6,6,FALSE)*EV6</f>
        <v>267184.40000000014</v>
      </c>
      <c r="EX6" s="825">
        <f t="shared" si="90"/>
        <v>903134.40000000014</v>
      </c>
      <c r="EY6" s="825">
        <f t="shared" si="91"/>
        <v>0</v>
      </c>
      <c r="EZ6" s="825">
        <f t="shared" si="92"/>
        <v>903134.40000000014</v>
      </c>
      <c r="FA6" s="825"/>
      <c r="FB6" s="825">
        <f t="shared" si="93"/>
        <v>8200000</v>
      </c>
      <c r="FC6" s="825">
        <f t="shared" si="94"/>
        <v>0</v>
      </c>
      <c r="FD6" s="825">
        <f t="shared" si="95"/>
        <v>0</v>
      </c>
      <c r="FE6" s="825">
        <f t="shared" si="96"/>
        <v>0</v>
      </c>
      <c r="FF6" s="825">
        <f t="shared" si="97"/>
        <v>0</v>
      </c>
      <c r="FG6" s="825">
        <f t="shared" si="98"/>
        <v>0</v>
      </c>
      <c r="FH6" s="825">
        <f t="shared" si="99"/>
        <v>0</v>
      </c>
      <c r="FI6" s="545"/>
      <c r="FJ6" s="546"/>
      <c r="FK6" s="546"/>
      <c r="FL6" s="545">
        <f t="shared" si="100"/>
        <v>25</v>
      </c>
      <c r="FM6" s="547">
        <v>0.15</v>
      </c>
      <c r="FN6" s="547">
        <f>IF(FM6&gt;0.2,0.35,VLOOKUP(FM6,'Density Bonus'!$A$1:$B$15,2,FALSE))</f>
        <v>0.27500000000000002</v>
      </c>
      <c r="FO6" s="548">
        <f t="shared" si="101"/>
        <v>25</v>
      </c>
      <c r="FP6" s="548">
        <f t="shared" si="102"/>
        <v>25</v>
      </c>
      <c r="FQ6" s="347"/>
      <c r="FR6" s="549">
        <f t="shared" si="103"/>
        <v>4</v>
      </c>
      <c r="FS6" s="549">
        <f t="shared" si="104"/>
        <v>21</v>
      </c>
      <c r="FT6" s="550">
        <f t="shared" si="105"/>
        <v>0</v>
      </c>
      <c r="FU6" s="550">
        <f>IF(FM6&lt;0.15,(VLOOKUP($AN6,'Impact Fee'!$A$1:$E$10,5,FALSE)*FS6),0)</f>
        <v>0</v>
      </c>
      <c r="FV6" s="550">
        <f t="shared" si="106"/>
        <v>0</v>
      </c>
      <c r="FW6" s="550">
        <f t="shared" si="107"/>
        <v>1339400</v>
      </c>
      <c r="FX6" s="550">
        <f t="shared" si="108"/>
        <v>898265.59999999986</v>
      </c>
      <c r="FY6" s="550">
        <f t="shared" si="109"/>
        <v>0</v>
      </c>
      <c r="FZ6" s="550">
        <f t="shared" si="110"/>
        <v>441134.40000000014</v>
      </c>
      <c r="GA6" s="550">
        <f>VLOOKUP($AI6,Funding!$A$1:$G$6,3,FALSE)*FZ6</f>
        <v>0</v>
      </c>
      <c r="GB6" s="550">
        <f t="shared" si="111"/>
        <v>0</v>
      </c>
      <c r="GC6" s="550">
        <f t="shared" si="112"/>
        <v>0</v>
      </c>
      <c r="GD6" s="550">
        <f t="shared" si="113"/>
        <v>0</v>
      </c>
      <c r="GE6" s="550"/>
      <c r="GF6" s="550">
        <f t="shared" si="114"/>
        <v>8200000</v>
      </c>
      <c r="GG6" s="550">
        <f t="shared" si="115"/>
        <v>0</v>
      </c>
      <c r="GH6" s="550">
        <f t="shared" si="116"/>
        <v>0</v>
      </c>
      <c r="GI6" s="550">
        <f t="shared" si="117"/>
        <v>0</v>
      </c>
      <c r="GJ6" s="550">
        <f t="shared" si="118"/>
        <v>0</v>
      </c>
      <c r="GK6" s="550">
        <f t="shared" si="119"/>
        <v>0</v>
      </c>
      <c r="GL6" s="550">
        <f t="shared" si="120"/>
        <v>0</v>
      </c>
      <c r="GM6" s="550">
        <f t="shared" si="121"/>
        <v>0</v>
      </c>
      <c r="GN6" s="550">
        <f t="shared" si="122"/>
        <v>0</v>
      </c>
      <c r="GO6" s="199"/>
      <c r="GP6" s="275"/>
      <c r="GQ6" s="199">
        <f t="shared" si="123"/>
        <v>25</v>
      </c>
      <c r="GR6" s="34">
        <v>1</v>
      </c>
      <c r="GS6" s="34">
        <f>IF(GR6&gt;0.2,0.35,VLOOKUP(GR6,'Density Bonus'!$A$1:$B$15,2,FALSE))</f>
        <v>0.35</v>
      </c>
      <c r="GT6" s="235">
        <f t="shared" si="124"/>
        <v>25</v>
      </c>
      <c r="GU6" s="235">
        <f t="shared" si="125"/>
        <v>25</v>
      </c>
      <c r="GV6" s="347"/>
      <c r="GW6" s="31">
        <f t="shared" si="126"/>
        <v>25</v>
      </c>
      <c r="GX6" s="31">
        <f t="shared" si="127"/>
        <v>0</v>
      </c>
      <c r="GY6" s="196" t="str">
        <f t="shared" si="128"/>
        <v/>
      </c>
      <c r="GZ6" s="238">
        <f t="shared" si="129"/>
        <v>0</v>
      </c>
      <c r="HA6" s="238">
        <f t="shared" si="130"/>
        <v>0</v>
      </c>
      <c r="HB6" s="238">
        <f t="shared" si="131"/>
        <v>0</v>
      </c>
      <c r="HC6" s="238">
        <f t="shared" ref="HC6:HC26" si="224">IF(GR6&lt;1,IF((GZ6+HA6+HB6)&gt;0,GZ6+HA6+HB6,0),0)</f>
        <v>0</v>
      </c>
      <c r="HD6" s="238">
        <f>VLOOKUP($AI6,Funding!$A$1:$G$6,7,FALSE)*HC6</f>
        <v>0</v>
      </c>
      <c r="HE6" s="238">
        <f t="shared" ref="HE6:HE18" si="225">SUM(GY6,HD6)</f>
        <v>0</v>
      </c>
      <c r="HF6" s="238">
        <f t="shared" ref="HF6:HF26" si="226">IF((GZ6+(-GW6*$HF$3)+HA6+HB6)&lt;0,GZ6+(-GW6*$HF$3)+HA6+HB6,0)</f>
        <v>-2543800</v>
      </c>
      <c r="HG6" s="238">
        <f t="shared" si="132"/>
        <v>-2543800</v>
      </c>
      <c r="HH6" s="238"/>
      <c r="HI6" s="238">
        <f t="shared" si="133"/>
        <v>8200000</v>
      </c>
      <c r="HJ6" s="238">
        <f t="shared" si="134"/>
        <v>0</v>
      </c>
      <c r="HK6" s="238">
        <f t="shared" si="135"/>
        <v>0</v>
      </c>
      <c r="HL6" s="238">
        <f t="shared" si="136"/>
        <v>0</v>
      </c>
      <c r="HM6" s="238">
        <f t="shared" si="137"/>
        <v>0</v>
      </c>
      <c r="HN6" s="238">
        <f t="shared" si="138"/>
        <v>0</v>
      </c>
      <c r="HO6" s="238">
        <f t="shared" si="139"/>
        <v>0</v>
      </c>
      <c r="HP6" s="397"/>
      <c r="HQ6" s="424" t="s">
        <v>446</v>
      </c>
      <c r="HR6" s="426">
        <f t="shared" si="140"/>
        <v>1339400</v>
      </c>
      <c r="HS6" s="425">
        <f t="shared" si="141"/>
        <v>0</v>
      </c>
      <c r="HT6" s="425">
        <f t="shared" si="142"/>
        <v>25</v>
      </c>
      <c r="HU6" s="429">
        <f t="shared" si="143"/>
        <v>0</v>
      </c>
      <c r="HV6" s="429">
        <f t="shared" si="143"/>
        <v>0</v>
      </c>
      <c r="HW6" s="429">
        <f t="shared" si="143"/>
        <v>0</v>
      </c>
      <c r="HX6" s="429">
        <f t="shared" si="143"/>
        <v>0</v>
      </c>
      <c r="HY6" s="429">
        <f t="shared" si="143"/>
        <v>0</v>
      </c>
      <c r="HZ6" s="426">
        <f t="shared" si="144"/>
        <v>328000</v>
      </c>
      <c r="IA6" s="426"/>
      <c r="IB6" s="426"/>
      <c r="IC6" s="425"/>
      <c r="ID6" s="425"/>
      <c r="IE6" s="425"/>
      <c r="IF6" s="427">
        <f>(($HR6+((HS6+HT6)*HZ6)+(HU6*IA6)+(HV6*IB6)+(HW6*IC6)+(HX6*ID6))*0.01*0.29)</f>
        <v>27664.26</v>
      </c>
      <c r="IG6" s="428">
        <f t="shared" si="145"/>
        <v>15864.022200000003</v>
      </c>
      <c r="IH6" s="428">
        <f t="shared" si="146"/>
        <v>0</v>
      </c>
      <c r="II6" s="428">
        <f t="shared" si="147"/>
        <v>15066</v>
      </c>
      <c r="IJ6" s="428">
        <f t="shared" si="148"/>
        <v>0</v>
      </c>
      <c r="IK6" s="428">
        <f t="shared" si="149"/>
        <v>58594.282200000001</v>
      </c>
      <c r="IL6" s="429">
        <f t="shared" si="150"/>
        <v>0</v>
      </c>
      <c r="IM6" s="427">
        <f>Sites!AG6</f>
        <v>1339400</v>
      </c>
      <c r="IN6" s="428">
        <f t="shared" si="151"/>
        <v>20091</v>
      </c>
      <c r="IO6" s="429">
        <f t="shared" si="152"/>
        <v>41</v>
      </c>
      <c r="IP6" s="426">
        <f t="shared" si="153"/>
        <v>2178265.9153695642</v>
      </c>
      <c r="IQ6" s="426">
        <f t="shared" si="154"/>
        <v>1141540.7722169682</v>
      </c>
      <c r="IR6" s="430">
        <v>2022</v>
      </c>
      <c r="IS6" s="431"/>
      <c r="IT6" s="431"/>
      <c r="IU6" s="431"/>
      <c r="IV6" s="431"/>
      <c r="IW6" s="428"/>
      <c r="IX6" s="428">
        <f>IX$4*$IK6</f>
        <v>64692.822154303467</v>
      </c>
      <c r="IY6" s="428">
        <f>IY$4*$IK6</f>
        <v>65986.678597389531</v>
      </c>
      <c r="IZ6" s="428">
        <f t="shared" si="155"/>
        <v>67306.412169337316</v>
      </c>
      <c r="JA6" s="428">
        <f t="shared" si="155"/>
        <v>68652.540412724062</v>
      </c>
      <c r="JB6" s="428">
        <f t="shared" si="155"/>
        <v>70025.591220978546</v>
      </c>
      <c r="JC6" s="428">
        <f t="shared" si="155"/>
        <v>71426.103045398122</v>
      </c>
      <c r="JD6" s="428">
        <f t="shared" si="155"/>
        <v>72854.625106306077</v>
      </c>
      <c r="JE6" s="428">
        <f t="shared" si="155"/>
        <v>74311.717608432198</v>
      </c>
      <c r="JF6" s="428">
        <f t="shared" si="155"/>
        <v>75797.95196060084</v>
      </c>
      <c r="JG6" s="428">
        <f t="shared" si="155"/>
        <v>77313.91099981287</v>
      </c>
      <c r="JH6" s="428">
        <f t="shared" si="155"/>
        <v>78860.189219809108</v>
      </c>
      <c r="JI6" s="428">
        <f t="shared" si="155"/>
        <v>80437.393004205296</v>
      </c>
      <c r="JJ6" s="428">
        <f t="shared" si="156"/>
        <v>82046.140864289409</v>
      </c>
      <c r="JK6" s="428">
        <f t="shared" si="156"/>
        <v>83687.063681575193</v>
      </c>
      <c r="JL6" s="428">
        <f t="shared" si="156"/>
        <v>85360.804955206695</v>
      </c>
      <c r="JM6" s="428">
        <f t="shared" si="156"/>
        <v>87068.021054310841</v>
      </c>
      <c r="JN6" s="428">
        <f t="shared" si="156"/>
        <v>88809.381475397051</v>
      </c>
      <c r="JO6" s="428">
        <f t="shared" si="156"/>
        <v>90585.569104904993</v>
      </c>
      <c r="JP6" s="428">
        <f t="shared" si="156"/>
        <v>92397.280487003081</v>
      </c>
      <c r="JQ6" s="428">
        <f t="shared" si="156"/>
        <v>94245.226096743136</v>
      </c>
      <c r="JR6" s="428">
        <f t="shared" si="156"/>
        <v>96130.130618677998</v>
      </c>
      <c r="JS6" s="428">
        <f t="shared" si="156"/>
        <v>98052.733231051578</v>
      </c>
      <c r="JT6" s="428">
        <f t="shared" si="156"/>
        <v>100013.78789567259</v>
      </c>
      <c r="JU6" s="428">
        <f t="shared" si="156"/>
        <v>102014.06365358605</v>
      </c>
      <c r="JV6" s="428">
        <f t="shared" si="156"/>
        <v>104054.34492665777</v>
      </c>
      <c r="JW6" s="428">
        <f t="shared" si="156"/>
        <v>106135.43182519093</v>
      </c>
      <c r="JX6" s="432"/>
      <c r="JY6" s="435">
        <f t="shared" si="157"/>
        <v>25</v>
      </c>
      <c r="JZ6" s="435">
        <f t="shared" si="158"/>
        <v>0</v>
      </c>
      <c r="KA6" s="435">
        <f t="shared" si="159"/>
        <v>0</v>
      </c>
      <c r="KB6" s="435">
        <f t="shared" si="160"/>
        <v>0</v>
      </c>
      <c r="KC6" s="435">
        <f t="shared" si="161"/>
        <v>0</v>
      </c>
      <c r="KD6" s="435">
        <f t="shared" si="162"/>
        <v>0</v>
      </c>
      <c r="KE6" s="435">
        <f t="shared" si="163"/>
        <v>0</v>
      </c>
      <c r="KF6" s="432">
        <f t="shared" si="164"/>
        <v>328000</v>
      </c>
      <c r="KG6" s="445">
        <f t="shared" si="165"/>
        <v>0</v>
      </c>
      <c r="KH6" s="445">
        <f t="shared" si="166"/>
        <v>0</v>
      </c>
      <c r="KI6" s="445">
        <f t="shared" si="167"/>
        <v>0</v>
      </c>
      <c r="KJ6" s="445">
        <f t="shared" si="168"/>
        <v>0</v>
      </c>
      <c r="KK6" s="445">
        <f t="shared" si="169"/>
        <v>0</v>
      </c>
      <c r="KL6" s="434">
        <f>(($HR6+(JZ6*KF6)+(KA6*KG6)+(KB6*KH6)+(KC6*KI6)+(KD6*KJ6))*0.01*0.29)</f>
        <v>3884.2599999999998</v>
      </c>
      <c r="KM6" s="432">
        <f t="shared" si="170"/>
        <v>2227.4222000000004</v>
      </c>
      <c r="KN6" s="432">
        <f t="shared" si="171"/>
        <v>0</v>
      </c>
      <c r="KO6" s="432">
        <f t="shared" si="172"/>
        <v>0</v>
      </c>
      <c r="KP6" s="432">
        <f t="shared" si="173"/>
        <v>0</v>
      </c>
      <c r="KQ6" s="432">
        <f t="shared" si="174"/>
        <v>6111.6822000000002</v>
      </c>
      <c r="KR6" s="435">
        <f t="shared" si="175"/>
        <v>0</v>
      </c>
      <c r="KS6" s="434">
        <f t="shared" si="176"/>
        <v>0</v>
      </c>
      <c r="KT6" s="432">
        <f t="shared" si="177"/>
        <v>0</v>
      </c>
      <c r="KU6" s="435">
        <f t="shared" si="178"/>
        <v>41</v>
      </c>
      <c r="KV6" s="433">
        <f t="shared" si="179"/>
        <v>227204.23430378464</v>
      </c>
      <c r="KW6" s="433">
        <f t="shared" si="180"/>
        <v>119068.51925105923</v>
      </c>
      <c r="KX6" s="436">
        <f t="shared" si="181"/>
        <v>2022</v>
      </c>
      <c r="KY6" s="411"/>
      <c r="KZ6" s="411"/>
      <c r="LA6" s="411"/>
      <c r="LB6" s="411"/>
      <c r="LC6" s="411"/>
      <c r="LD6" s="446">
        <f>LD$4*$KQ6</f>
        <v>6747.7909922791432</v>
      </c>
      <c r="LE6" s="446">
        <f>LE$4*$KQ6</f>
        <v>6882.7468121247266</v>
      </c>
      <c r="LF6" s="446">
        <f t="shared" si="182"/>
        <v>7020.4017483672196</v>
      </c>
      <c r="LG6" s="446">
        <f t="shared" si="182"/>
        <v>7160.8097833345646</v>
      </c>
      <c r="LH6" s="446">
        <f t="shared" si="182"/>
        <v>7304.025979001256</v>
      </c>
      <c r="LI6" s="446">
        <f t="shared" si="182"/>
        <v>7450.1064985812809</v>
      </c>
      <c r="LJ6" s="446">
        <f t="shared" si="182"/>
        <v>7599.1086285529054</v>
      </c>
      <c r="LK6" s="446">
        <f t="shared" si="182"/>
        <v>7751.0908011239653</v>
      </c>
      <c r="LL6" s="446">
        <f t="shared" si="182"/>
        <v>7906.1126171464439</v>
      </c>
      <c r="LM6" s="446">
        <f t="shared" si="182"/>
        <v>8064.2348694893735</v>
      </c>
      <c r="LN6" s="446">
        <f t="shared" si="182"/>
        <v>8225.5195668791584</v>
      </c>
      <c r="LO6" s="446">
        <f t="shared" si="182"/>
        <v>8390.0299582167427</v>
      </c>
      <c r="LP6" s="446">
        <f t="shared" si="183"/>
        <v>8557.8305573810794</v>
      </c>
      <c r="LQ6" s="446">
        <f t="shared" si="183"/>
        <v>8728.9871685286998</v>
      </c>
      <c r="LR6" s="446">
        <f t="shared" si="183"/>
        <v>8903.5669118992737</v>
      </c>
      <c r="LS6" s="446">
        <f t="shared" si="183"/>
        <v>9081.6382501372591</v>
      </c>
      <c r="LT6" s="446">
        <f t="shared" si="183"/>
        <v>9263.2710151400042</v>
      </c>
      <c r="LU6" s="446">
        <f t="shared" si="183"/>
        <v>9448.5364354428038</v>
      </c>
      <c r="LV6" s="446">
        <f t="shared" si="183"/>
        <v>9637.5071641516588</v>
      </c>
      <c r="LW6" s="446">
        <f t="shared" si="183"/>
        <v>9830.2573074346928</v>
      </c>
      <c r="LX6" s="446">
        <f t="shared" si="183"/>
        <v>10026.862453583386</v>
      </c>
      <c r="LY6" s="446">
        <f t="shared" si="183"/>
        <v>10227.399702655055</v>
      </c>
      <c r="LZ6" s="446">
        <f t="shared" si="183"/>
        <v>10431.947696708154</v>
      </c>
      <c r="MA6" s="446">
        <f t="shared" si="183"/>
        <v>10640.586650642319</v>
      </c>
      <c r="MB6" s="446">
        <f t="shared" si="183"/>
        <v>10853.398383655165</v>
      </c>
      <c r="MC6" s="446">
        <f t="shared" si="183"/>
        <v>11070.466351328269</v>
      </c>
      <c r="MD6" s="496"/>
      <c r="ME6" s="497">
        <f t="shared" si="184"/>
        <v>0</v>
      </c>
      <c r="MF6" s="497">
        <f t="shared" si="185"/>
        <v>0</v>
      </c>
      <c r="MG6" s="497">
        <f t="shared" si="186"/>
        <v>0</v>
      </c>
      <c r="MH6" s="497">
        <f t="shared" si="187"/>
        <v>0</v>
      </c>
      <c r="MI6" s="497">
        <f t="shared" si="188"/>
        <v>0</v>
      </c>
      <c r="MJ6" s="498">
        <f t="shared" si="189"/>
        <v>0</v>
      </c>
      <c r="MK6" s="498">
        <f t="shared" si="190"/>
        <v>0</v>
      </c>
      <c r="ML6" s="498">
        <f t="shared" si="191"/>
        <v>0</v>
      </c>
      <c r="MM6" s="498">
        <f t="shared" si="192"/>
        <v>0</v>
      </c>
      <c r="MN6" s="498">
        <f t="shared" si="193"/>
        <v>0</v>
      </c>
      <c r="MO6" s="454"/>
      <c r="MP6" s="448">
        <f t="shared" si="194"/>
        <v>25</v>
      </c>
      <c r="MQ6" s="448">
        <f t="shared" si="195"/>
        <v>0</v>
      </c>
      <c r="MR6" s="448">
        <f t="shared" si="196"/>
        <v>0</v>
      </c>
      <c r="MS6" s="448">
        <f t="shared" si="197"/>
        <v>0</v>
      </c>
      <c r="MT6" s="448">
        <f t="shared" si="198"/>
        <v>0</v>
      </c>
      <c r="MU6" s="448">
        <f t="shared" si="199"/>
        <v>0</v>
      </c>
      <c r="MV6" s="448">
        <f t="shared" si="200"/>
        <v>0</v>
      </c>
      <c r="MW6" s="450">
        <f t="shared" si="201"/>
        <v>328000</v>
      </c>
      <c r="MX6" s="450">
        <f t="shared" si="202"/>
        <v>0</v>
      </c>
      <c r="MY6" s="450">
        <f t="shared" si="203"/>
        <v>0</v>
      </c>
      <c r="MZ6" s="450">
        <f t="shared" si="204"/>
        <v>0</v>
      </c>
      <c r="NA6" s="450">
        <f t="shared" si="205"/>
        <v>0</v>
      </c>
      <c r="NB6" s="450">
        <f t="shared" si="206"/>
        <v>0</v>
      </c>
      <c r="NC6" s="451">
        <f t="shared" si="207"/>
        <v>0</v>
      </c>
      <c r="ND6" s="449">
        <f t="shared" si="208"/>
        <v>0</v>
      </c>
      <c r="NE6" s="449">
        <f t="shared" si="209"/>
        <v>0</v>
      </c>
      <c r="NF6" s="449">
        <f t="shared" si="210"/>
        <v>0</v>
      </c>
      <c r="NG6" s="449">
        <f t="shared" si="211"/>
        <v>0</v>
      </c>
      <c r="NH6" s="449">
        <f t="shared" si="212"/>
        <v>0</v>
      </c>
      <c r="NI6" s="448">
        <f t="shared" si="213"/>
        <v>0</v>
      </c>
      <c r="NJ6" s="451">
        <f t="shared" si="214"/>
        <v>0</v>
      </c>
      <c r="NK6" s="449">
        <f t="shared" si="215"/>
        <v>0</v>
      </c>
      <c r="NL6" s="448">
        <f t="shared" si="216"/>
        <v>41</v>
      </c>
      <c r="NM6" s="452">
        <f t="shared" si="217"/>
        <v>0</v>
      </c>
      <c r="NN6" s="452">
        <f t="shared" si="218"/>
        <v>0</v>
      </c>
      <c r="NO6" s="453">
        <f t="shared" si="219"/>
        <v>2022</v>
      </c>
      <c r="NP6" s="423"/>
      <c r="NQ6" s="423"/>
      <c r="NR6" s="423"/>
      <c r="NS6" s="423"/>
      <c r="NT6" s="423"/>
      <c r="NU6" s="454">
        <f>NU$4*$NH6</f>
        <v>0</v>
      </c>
      <c r="NV6" s="454">
        <f>NV$4*$NH6</f>
        <v>0</v>
      </c>
      <c r="NW6" s="454">
        <f t="shared" si="220"/>
        <v>0</v>
      </c>
      <c r="NX6" s="454">
        <f t="shared" si="220"/>
        <v>0</v>
      </c>
      <c r="NY6" s="454">
        <f t="shared" si="220"/>
        <v>0</v>
      </c>
      <c r="NZ6" s="454">
        <f t="shared" si="220"/>
        <v>0</v>
      </c>
      <c r="OA6" s="454">
        <f t="shared" si="220"/>
        <v>0</v>
      </c>
      <c r="OB6" s="454">
        <f t="shared" si="220"/>
        <v>0</v>
      </c>
      <c r="OC6" s="454">
        <f t="shared" si="220"/>
        <v>0</v>
      </c>
      <c r="OD6" s="454">
        <f t="shared" si="220"/>
        <v>0</v>
      </c>
      <c r="OE6" s="454">
        <f t="shared" si="220"/>
        <v>0</v>
      </c>
      <c r="OF6" s="454">
        <f t="shared" si="220"/>
        <v>0</v>
      </c>
      <c r="OG6" s="454">
        <f t="shared" si="221"/>
        <v>0</v>
      </c>
      <c r="OH6" s="454">
        <f t="shared" si="221"/>
        <v>0</v>
      </c>
      <c r="OI6" s="454">
        <f t="shared" si="221"/>
        <v>0</v>
      </c>
      <c r="OJ6" s="454">
        <f t="shared" si="221"/>
        <v>0</v>
      </c>
      <c r="OK6" s="454">
        <f t="shared" si="221"/>
        <v>0</v>
      </c>
      <c r="OL6" s="454">
        <f t="shared" si="221"/>
        <v>0</v>
      </c>
      <c r="OM6" s="454">
        <f t="shared" si="221"/>
        <v>0</v>
      </c>
      <c r="ON6" s="454">
        <f t="shared" si="221"/>
        <v>0</v>
      </c>
      <c r="OO6" s="454">
        <f t="shared" si="221"/>
        <v>0</v>
      </c>
      <c r="OP6" s="454">
        <f t="shared" si="221"/>
        <v>0</v>
      </c>
      <c r="OQ6" s="454">
        <f t="shared" si="221"/>
        <v>0</v>
      </c>
      <c r="OR6" s="454">
        <f t="shared" si="221"/>
        <v>0</v>
      </c>
      <c r="OS6" s="454">
        <f t="shared" si="221"/>
        <v>0</v>
      </c>
      <c r="OT6" s="454">
        <f t="shared" si="221"/>
        <v>0</v>
      </c>
    </row>
    <row r="7" spans="1:410" s="11" customFormat="1" ht="30">
      <c r="A7" s="19" t="s">
        <v>575</v>
      </c>
      <c r="B7" s="19" t="s">
        <v>440</v>
      </c>
      <c r="C7" s="19" t="s">
        <v>439</v>
      </c>
      <c r="D7" s="19">
        <v>2</v>
      </c>
      <c r="E7" s="19" t="s">
        <v>293</v>
      </c>
      <c r="F7" s="19" t="s">
        <v>420</v>
      </c>
      <c r="G7" s="22" t="s">
        <v>429</v>
      </c>
      <c r="H7" s="20"/>
      <c r="I7" s="442">
        <f>3125+6000</f>
        <v>9125</v>
      </c>
      <c r="J7" s="20"/>
      <c r="K7" s="20"/>
      <c r="L7" s="20"/>
      <c r="M7" s="20"/>
      <c r="N7" s="20"/>
      <c r="O7" s="442">
        <f t="shared" si="3"/>
        <v>0</v>
      </c>
      <c r="P7" s="21"/>
      <c r="Q7" s="21" t="s">
        <v>43</v>
      </c>
      <c r="R7" s="27">
        <f t="shared" si="4"/>
        <v>24.333333333333332</v>
      </c>
      <c r="S7" s="27">
        <v>3</v>
      </c>
      <c r="T7" s="27">
        <f>I7*S7</f>
        <v>27375</v>
      </c>
      <c r="U7" s="21">
        <v>60</v>
      </c>
      <c r="V7" s="19"/>
      <c r="W7" s="22"/>
      <c r="X7" s="19"/>
      <c r="Y7" s="19"/>
      <c r="Z7" s="19" t="s">
        <v>441</v>
      </c>
      <c r="AA7" s="219"/>
      <c r="AB7" s="219"/>
      <c r="AC7" s="224">
        <v>120</v>
      </c>
      <c r="AD7" s="224">
        <f t="shared" si="5"/>
        <v>1095000</v>
      </c>
      <c r="AE7" s="24"/>
      <c r="AF7" s="273"/>
      <c r="AG7" s="220">
        <f t="shared" si="6"/>
        <v>1095000</v>
      </c>
      <c r="AH7" s="220">
        <f t="shared" si="7"/>
        <v>1095000</v>
      </c>
      <c r="AI7" s="24" t="s">
        <v>254</v>
      </c>
      <c r="AJ7" s="228">
        <f>VLOOKUP($Q7,'Zoning Density'!$A$1:$E$28,3,)</f>
        <v>375</v>
      </c>
      <c r="AK7" s="228">
        <f t="shared" si="8"/>
        <v>450</v>
      </c>
      <c r="AL7" s="229">
        <f t="shared" si="9"/>
        <v>24.333333333333332</v>
      </c>
      <c r="AM7" s="229">
        <f t="shared" si="10"/>
        <v>20.277777777777779</v>
      </c>
      <c r="AN7" s="228">
        <v>2</v>
      </c>
      <c r="AO7" s="221">
        <f>VLOOKUP($AI7,Funding!$A$1:$G$6,3,FALSE)*$AG7</f>
        <v>1095000</v>
      </c>
      <c r="AP7" s="221">
        <f>VLOOKUP($AI7,Funding!$A$1:$G$6,4,FALSE)*$AG7</f>
        <v>1095000</v>
      </c>
      <c r="AQ7" s="351"/>
      <c r="AR7" s="274"/>
      <c r="AS7" s="222">
        <f t="shared" si="11"/>
        <v>20</v>
      </c>
      <c r="AT7" s="222"/>
      <c r="AU7" s="222">
        <f t="shared" si="12"/>
        <v>20</v>
      </c>
      <c r="AV7" s="221">
        <f>VLOOKUP($AN7,'Impact Fee'!$A$1:$E$20,5,FALSE)*AU7</f>
        <v>355000</v>
      </c>
      <c r="AW7" s="221">
        <f t="shared" si="13"/>
        <v>0</v>
      </c>
      <c r="AX7" s="221"/>
      <c r="AY7" s="321"/>
      <c r="AZ7" s="221">
        <f t="shared" si="14"/>
        <v>355000</v>
      </c>
      <c r="BA7" s="221">
        <f t="shared" si="15"/>
        <v>1450000</v>
      </c>
      <c r="BB7" s="221">
        <f t="shared" si="16"/>
        <v>1450000</v>
      </c>
      <c r="BC7" s="271">
        <f t="shared" si="222"/>
        <v>11.6</v>
      </c>
      <c r="BD7" s="271">
        <f t="shared" si="223"/>
        <v>11.6</v>
      </c>
      <c r="BE7" s="271"/>
      <c r="BF7" s="221">
        <f t="shared" si="17"/>
        <v>6560000</v>
      </c>
      <c r="BG7" s="221">
        <f t="shared" si="18"/>
        <v>0</v>
      </c>
      <c r="BH7" s="221">
        <f t="shared" si="19"/>
        <v>0</v>
      </c>
      <c r="BI7" s="221">
        <f t="shared" si="20"/>
        <v>0</v>
      </c>
      <c r="BJ7" s="221">
        <f t="shared" si="21"/>
        <v>0</v>
      </c>
      <c r="BK7" s="221">
        <f t="shared" si="22"/>
        <v>0</v>
      </c>
      <c r="BL7" s="221">
        <f t="shared" si="23"/>
        <v>0</v>
      </c>
      <c r="BM7" s="221">
        <f t="shared" si="24"/>
        <v>0</v>
      </c>
      <c r="BN7" s="259"/>
      <c r="BO7" s="260"/>
      <c r="BP7" s="259">
        <f t="shared" si="25"/>
        <v>20</v>
      </c>
      <c r="BQ7" s="261">
        <v>1</v>
      </c>
      <c r="BR7" s="261">
        <f>IF(BQ7&gt;0.2,0.35,VLOOKUP(BQ7,'Density Bonus'!$A$1:$B$15,2,FALSE))</f>
        <v>0.35</v>
      </c>
      <c r="BS7" s="262">
        <f t="shared" si="26"/>
        <v>20.277777777777779</v>
      </c>
      <c r="BT7" s="262">
        <f t="shared" si="27"/>
        <v>21</v>
      </c>
      <c r="BU7" s="349"/>
      <c r="BV7" s="263">
        <f t="shared" si="28"/>
        <v>21</v>
      </c>
      <c r="BW7" s="263">
        <f t="shared" si="29"/>
        <v>0</v>
      </c>
      <c r="BX7" s="264">
        <f t="shared" si="30"/>
        <v>0</v>
      </c>
      <c r="BY7" s="264">
        <f>IF(BQ7&lt;0.15,(VLOOKUP($AN7,'Impact Fee'!$A$1:$E$10,5,FALSE)*BW7),0)</f>
        <v>0</v>
      </c>
      <c r="BZ7" s="264">
        <f t="shared" si="31"/>
        <v>0</v>
      </c>
      <c r="CA7" s="264">
        <f t="shared" si="32"/>
        <v>0</v>
      </c>
      <c r="CB7" s="264">
        <f t="shared" si="33"/>
        <v>0</v>
      </c>
      <c r="CC7" s="264">
        <f t="shared" si="34"/>
        <v>0</v>
      </c>
      <c r="CD7" s="264">
        <f t="shared" si="35"/>
        <v>0</v>
      </c>
      <c r="CE7" s="264">
        <f>CD7*IF(F7="Commercial",CE$3,VLOOKUP($AI7,Funding!$A$1:$G$6,5,FALSE))</f>
        <v>0</v>
      </c>
      <c r="CF7" s="264">
        <f t="shared" si="36"/>
        <v>0</v>
      </c>
      <c r="CG7" s="264">
        <f t="shared" si="37"/>
        <v>-2136792</v>
      </c>
      <c r="CH7" s="264">
        <f t="shared" si="38"/>
        <v>-2136792</v>
      </c>
      <c r="CI7" s="264"/>
      <c r="CJ7" s="264">
        <f t="shared" si="39"/>
        <v>6888000</v>
      </c>
      <c r="CK7" s="264">
        <f t="shared" si="40"/>
        <v>0</v>
      </c>
      <c r="CL7" s="264">
        <f t="shared" si="41"/>
        <v>0</v>
      </c>
      <c r="CM7" s="264">
        <f t="shared" si="42"/>
        <v>0</v>
      </c>
      <c r="CN7" s="264">
        <f t="shared" si="43"/>
        <v>0</v>
      </c>
      <c r="CO7" s="264">
        <f t="shared" si="44"/>
        <v>0</v>
      </c>
      <c r="CP7" s="264">
        <f t="shared" si="45"/>
        <v>0</v>
      </c>
      <c r="CQ7" s="264">
        <f t="shared" si="46"/>
        <v>0</v>
      </c>
      <c r="CR7" s="264">
        <f t="shared" si="47"/>
        <v>0</v>
      </c>
      <c r="CS7" s="520"/>
      <c r="CT7" s="521"/>
      <c r="CU7" s="520">
        <f t="shared" si="48"/>
        <v>20</v>
      </c>
      <c r="CV7" s="522">
        <v>0.15</v>
      </c>
      <c r="CW7" s="522">
        <f>IF(CV7&gt;0.2,0.35,VLOOKUP(CV7,'Density Bonus'!$A$1:$B$15,2,FALSE))</f>
        <v>0.27500000000000002</v>
      </c>
      <c r="CX7" s="523">
        <f t="shared" si="49"/>
        <v>20.277777777777779</v>
      </c>
      <c r="CY7" s="523">
        <f t="shared" si="50"/>
        <v>21</v>
      </c>
      <c r="CZ7" s="347"/>
      <c r="DA7" s="524">
        <f t="shared" si="51"/>
        <v>3</v>
      </c>
      <c r="DB7" s="524">
        <f t="shared" si="52"/>
        <v>18</v>
      </c>
      <c r="DC7" s="525">
        <f t="shared" si="53"/>
        <v>0</v>
      </c>
      <c r="DD7" s="525">
        <f>IF(CV7&lt;0.4,VLOOKUP($AN7,'Impact Fee'!$A$1:$E$10,5,FALSE)*DB7,0)</f>
        <v>319500</v>
      </c>
      <c r="DE7" s="525">
        <f t="shared" si="54"/>
        <v>319500</v>
      </c>
      <c r="DF7" s="525">
        <f t="shared" si="55"/>
        <v>1414500</v>
      </c>
      <c r="DG7" s="525">
        <f t="shared" si="56"/>
        <v>673699.2</v>
      </c>
      <c r="DH7" s="525">
        <f t="shared" si="57"/>
        <v>534198</v>
      </c>
      <c r="DI7" s="525">
        <f t="shared" si="58"/>
        <v>740800.8</v>
      </c>
      <c r="DJ7" s="525">
        <f t="shared" si="59"/>
        <v>534198</v>
      </c>
      <c r="DK7" s="525">
        <f t="shared" si="60"/>
        <v>206602.80000000005</v>
      </c>
      <c r="DL7" s="525">
        <f t="shared" si="61"/>
        <v>0</v>
      </c>
      <c r="DM7" s="525">
        <f t="shared" si="62"/>
        <v>0</v>
      </c>
      <c r="DN7" s="525">
        <f t="shared" si="63"/>
        <v>206602.80000000005</v>
      </c>
      <c r="DO7" s="525">
        <f>VLOOKUP($AI7,Funding!$A$1:$G$6,6,FALSE)*DN7</f>
        <v>206602.80000000005</v>
      </c>
      <c r="DP7" s="525">
        <f t="shared" si="64"/>
        <v>740800.8</v>
      </c>
      <c r="DQ7" s="525">
        <f t="shared" si="65"/>
        <v>0</v>
      </c>
      <c r="DR7" s="525">
        <f t="shared" si="66"/>
        <v>740800.8</v>
      </c>
      <c r="DS7" s="525"/>
      <c r="DT7" s="525">
        <f t="shared" si="67"/>
        <v>6888000</v>
      </c>
      <c r="DU7" s="525">
        <f t="shared" si="68"/>
        <v>0</v>
      </c>
      <c r="DV7" s="525">
        <f t="shared" si="69"/>
        <v>0</v>
      </c>
      <c r="DW7" s="525">
        <f t="shared" si="70"/>
        <v>0</v>
      </c>
      <c r="DX7" s="525">
        <f t="shared" si="71"/>
        <v>0</v>
      </c>
      <c r="DY7" s="525">
        <f t="shared" si="72"/>
        <v>0</v>
      </c>
      <c r="DZ7" s="525">
        <f t="shared" si="73"/>
        <v>0</v>
      </c>
      <c r="EA7" s="819"/>
      <c r="EB7" s="820"/>
      <c r="EC7" s="819">
        <f t="shared" si="74"/>
        <v>20</v>
      </c>
      <c r="ED7" s="821">
        <v>0.15</v>
      </c>
      <c r="EE7" s="821">
        <f>IF(ED7&gt;0.2,0.35,VLOOKUP(ED7,'Density Bonus'!$A$1:$B$15,2,FALSE))</f>
        <v>0.27500000000000002</v>
      </c>
      <c r="EF7" s="822">
        <f t="shared" si="75"/>
        <v>20.277777777777779</v>
      </c>
      <c r="EG7" s="822">
        <f t="shared" si="76"/>
        <v>21</v>
      </c>
      <c r="EH7" s="823"/>
      <c r="EI7" s="824">
        <f t="shared" si="77"/>
        <v>3</v>
      </c>
      <c r="EJ7" s="824">
        <f t="shared" si="78"/>
        <v>18</v>
      </c>
      <c r="EK7" s="825">
        <f t="shared" si="79"/>
        <v>0</v>
      </c>
      <c r="EL7" s="825">
        <f>IF(ED7&lt;0.4,VLOOKUP($AN7,'Impact Fee'!$A$1:$E$10,5,FALSE)*EJ7,0)</f>
        <v>319500</v>
      </c>
      <c r="EM7" s="825">
        <f t="shared" si="80"/>
        <v>319500</v>
      </c>
      <c r="EN7" s="825">
        <f t="shared" si="81"/>
        <v>1414500</v>
      </c>
      <c r="EO7" s="825">
        <f t="shared" si="82"/>
        <v>673699.2</v>
      </c>
      <c r="EP7" s="825">
        <f t="shared" si="83"/>
        <v>534198</v>
      </c>
      <c r="EQ7" s="825">
        <f t="shared" si="84"/>
        <v>740800.8</v>
      </c>
      <c r="ER7" s="825">
        <f t="shared" si="85"/>
        <v>534198</v>
      </c>
      <c r="ES7" s="825">
        <f t="shared" si="86"/>
        <v>206602.80000000005</v>
      </c>
      <c r="ET7" s="825">
        <f t="shared" si="87"/>
        <v>0</v>
      </c>
      <c r="EU7" s="825">
        <f t="shared" si="88"/>
        <v>0</v>
      </c>
      <c r="EV7" s="825">
        <f t="shared" si="89"/>
        <v>206602.80000000005</v>
      </c>
      <c r="EW7" s="825">
        <f>VLOOKUP($AI7,Funding!$A$1:$G$6,6,FALSE)*EV7</f>
        <v>206602.80000000005</v>
      </c>
      <c r="EX7" s="825">
        <f t="shared" si="90"/>
        <v>740800.8</v>
      </c>
      <c r="EY7" s="825">
        <f t="shared" si="91"/>
        <v>0</v>
      </c>
      <c r="EZ7" s="825">
        <f t="shared" si="92"/>
        <v>740800.8</v>
      </c>
      <c r="FA7" s="825"/>
      <c r="FB7" s="825">
        <f t="shared" si="93"/>
        <v>6888000</v>
      </c>
      <c r="FC7" s="825">
        <f t="shared" si="94"/>
        <v>0</v>
      </c>
      <c r="FD7" s="825">
        <f t="shared" si="95"/>
        <v>0</v>
      </c>
      <c r="FE7" s="825">
        <f t="shared" si="96"/>
        <v>0</v>
      </c>
      <c r="FF7" s="825">
        <f t="shared" si="97"/>
        <v>0</v>
      </c>
      <c r="FG7" s="825">
        <f t="shared" si="98"/>
        <v>0</v>
      </c>
      <c r="FH7" s="825">
        <f t="shared" si="99"/>
        <v>0</v>
      </c>
      <c r="FI7" s="545"/>
      <c r="FJ7" s="546"/>
      <c r="FK7" s="546"/>
      <c r="FL7" s="545">
        <f t="shared" si="100"/>
        <v>20</v>
      </c>
      <c r="FM7" s="547">
        <v>0.15</v>
      </c>
      <c r="FN7" s="547">
        <f>IF(FM7&gt;0.2,0.35,VLOOKUP(FM7,'Density Bonus'!$A$1:$B$15,2,FALSE))</f>
        <v>0.27500000000000002</v>
      </c>
      <c r="FO7" s="548">
        <f t="shared" si="101"/>
        <v>20.277777777777779</v>
      </c>
      <c r="FP7" s="548">
        <f t="shared" si="102"/>
        <v>21</v>
      </c>
      <c r="FQ7" s="347"/>
      <c r="FR7" s="549">
        <f t="shared" si="103"/>
        <v>3</v>
      </c>
      <c r="FS7" s="549">
        <f t="shared" si="104"/>
        <v>18</v>
      </c>
      <c r="FT7" s="550">
        <f t="shared" si="105"/>
        <v>0</v>
      </c>
      <c r="FU7" s="550">
        <f>IF(FM7&lt;0.15,(VLOOKUP($AN7,'Impact Fee'!$A$1:$E$10,5,FALSE)*FS7),0)</f>
        <v>0</v>
      </c>
      <c r="FV7" s="550">
        <f t="shared" si="106"/>
        <v>0</v>
      </c>
      <c r="FW7" s="550">
        <f t="shared" si="107"/>
        <v>1095000</v>
      </c>
      <c r="FX7" s="550">
        <f t="shared" si="108"/>
        <v>673699.2</v>
      </c>
      <c r="FY7" s="550">
        <f t="shared" si="109"/>
        <v>0</v>
      </c>
      <c r="FZ7" s="550">
        <f t="shared" si="110"/>
        <v>421300.80000000005</v>
      </c>
      <c r="GA7" s="550">
        <f>VLOOKUP($AI7,Funding!$A$1:$G$6,3,FALSE)*FZ7</f>
        <v>421300.80000000005</v>
      </c>
      <c r="GB7" s="550">
        <f t="shared" si="111"/>
        <v>421300.80000000005</v>
      </c>
      <c r="GC7" s="550">
        <f t="shared" si="112"/>
        <v>0</v>
      </c>
      <c r="GD7" s="550">
        <f t="shared" si="113"/>
        <v>421300.80000000005</v>
      </c>
      <c r="GE7" s="550"/>
      <c r="GF7" s="550">
        <f t="shared" si="114"/>
        <v>6888000</v>
      </c>
      <c r="GG7" s="550">
        <f t="shared" si="115"/>
        <v>0</v>
      </c>
      <c r="GH7" s="550">
        <f t="shared" si="116"/>
        <v>0</v>
      </c>
      <c r="GI7" s="550">
        <f t="shared" si="117"/>
        <v>0</v>
      </c>
      <c r="GJ7" s="550">
        <f t="shared" si="118"/>
        <v>0</v>
      </c>
      <c r="GK7" s="550">
        <f t="shared" si="119"/>
        <v>0</v>
      </c>
      <c r="GL7" s="550">
        <f t="shared" si="120"/>
        <v>0</v>
      </c>
      <c r="GM7" s="550">
        <f t="shared" si="121"/>
        <v>0</v>
      </c>
      <c r="GN7" s="550">
        <f t="shared" si="122"/>
        <v>0</v>
      </c>
      <c r="GO7" s="199"/>
      <c r="GP7" s="275"/>
      <c r="GQ7" s="199">
        <f t="shared" si="123"/>
        <v>20</v>
      </c>
      <c r="GR7" s="34">
        <v>1</v>
      </c>
      <c r="GS7" s="34">
        <f>IF(GR7&gt;0.2,0.35,VLOOKUP(GR7,'Density Bonus'!$A$1:$B$15,2,FALSE))</f>
        <v>0.35</v>
      </c>
      <c r="GT7" s="235">
        <f t="shared" si="124"/>
        <v>20.277777777777779</v>
      </c>
      <c r="GU7" s="235">
        <f t="shared" si="125"/>
        <v>21</v>
      </c>
      <c r="GV7" s="347"/>
      <c r="GW7" s="31">
        <f t="shared" si="126"/>
        <v>21</v>
      </c>
      <c r="GX7" s="31">
        <f t="shared" si="127"/>
        <v>0</v>
      </c>
      <c r="GY7" s="196" t="str">
        <f t="shared" si="128"/>
        <v/>
      </c>
      <c r="GZ7" s="238">
        <f t="shared" si="129"/>
        <v>0</v>
      </c>
      <c r="HA7" s="238">
        <f t="shared" si="130"/>
        <v>0</v>
      </c>
      <c r="HB7" s="238">
        <f t="shared" si="131"/>
        <v>0</v>
      </c>
      <c r="HC7" s="238">
        <f t="shared" si="224"/>
        <v>0</v>
      </c>
      <c r="HD7" s="238">
        <f>VLOOKUP($AI7,Funding!$A$1:$G$6,7,FALSE)*HC7</f>
        <v>0</v>
      </c>
      <c r="HE7" s="238">
        <f t="shared" si="225"/>
        <v>0</v>
      </c>
      <c r="HF7" s="238">
        <f t="shared" si="226"/>
        <v>-2136792</v>
      </c>
      <c r="HG7" s="238">
        <f t="shared" si="132"/>
        <v>-2136792</v>
      </c>
      <c r="HH7" s="238"/>
      <c r="HI7" s="238">
        <f t="shared" si="133"/>
        <v>6888000</v>
      </c>
      <c r="HJ7" s="238">
        <f t="shared" si="134"/>
        <v>0</v>
      </c>
      <c r="HK7" s="238">
        <f t="shared" si="135"/>
        <v>0</v>
      </c>
      <c r="HL7" s="238">
        <f t="shared" si="136"/>
        <v>0</v>
      </c>
      <c r="HM7" s="238">
        <f t="shared" si="137"/>
        <v>0</v>
      </c>
      <c r="HN7" s="238">
        <f t="shared" si="138"/>
        <v>0</v>
      </c>
      <c r="HO7" s="238">
        <f t="shared" si="139"/>
        <v>0</v>
      </c>
      <c r="HP7" s="397"/>
      <c r="HQ7" s="424"/>
      <c r="HR7" s="426">
        <f t="shared" si="140"/>
        <v>1095000</v>
      </c>
      <c r="HS7" s="425">
        <f t="shared" si="141"/>
        <v>0</v>
      </c>
      <c r="HT7" s="425">
        <f t="shared" si="142"/>
        <v>20</v>
      </c>
      <c r="HU7" s="429">
        <f t="shared" si="143"/>
        <v>0</v>
      </c>
      <c r="HV7" s="429">
        <f t="shared" si="143"/>
        <v>0</v>
      </c>
      <c r="HW7" s="429">
        <f t="shared" si="143"/>
        <v>0</v>
      </c>
      <c r="HX7" s="429">
        <f t="shared" si="143"/>
        <v>0</v>
      </c>
      <c r="HY7" s="429">
        <f t="shared" si="143"/>
        <v>0</v>
      </c>
      <c r="HZ7" s="426">
        <f t="shared" si="144"/>
        <v>328000</v>
      </c>
      <c r="IA7" s="426"/>
      <c r="IB7" s="426"/>
      <c r="IC7" s="425"/>
      <c r="ID7" s="425"/>
      <c r="IE7" s="425"/>
      <c r="IF7" s="427">
        <f>((HR7+(HT7*HZ7)+(HU7*IA7)+(HV7*IB7)+(HW7*IC7)+(HX7*ID7))*0.01*0.29)</f>
        <v>22199.5</v>
      </c>
      <c r="IG7" s="428">
        <f t="shared" si="145"/>
        <v>12730.264999999999</v>
      </c>
      <c r="IH7" s="428">
        <f t="shared" si="146"/>
        <v>0</v>
      </c>
      <c r="II7" s="428">
        <f t="shared" si="147"/>
        <v>8454.5370000000003</v>
      </c>
      <c r="IJ7" s="428">
        <f t="shared" si="148"/>
        <v>0</v>
      </c>
      <c r="IK7" s="428">
        <f t="shared" si="149"/>
        <v>43384.301999999996</v>
      </c>
      <c r="IL7" s="429">
        <f t="shared" si="150"/>
        <v>0</v>
      </c>
      <c r="IM7" s="427">
        <f>Sites!AG7</f>
        <v>1095000</v>
      </c>
      <c r="IN7" s="428">
        <f t="shared" si="151"/>
        <v>16425</v>
      </c>
      <c r="IO7" s="429">
        <f t="shared" si="152"/>
        <v>32.799999999999997</v>
      </c>
      <c r="IP7" s="426">
        <f t="shared" si="153"/>
        <v>1516071.2623744532</v>
      </c>
      <c r="IQ7" s="426">
        <f t="shared" si="154"/>
        <v>832700.45365296921</v>
      </c>
      <c r="IR7" s="430">
        <v>2024</v>
      </c>
      <c r="IS7" s="431"/>
      <c r="IT7" s="431"/>
      <c r="IU7" s="431"/>
      <c r="IV7" s="431"/>
      <c r="IW7" s="428"/>
      <c r="IX7" s="428"/>
      <c r="IY7" s="428"/>
      <c r="IZ7" s="428">
        <f t="shared" si="155"/>
        <v>49834.925908367979</v>
      </c>
      <c r="JA7" s="428">
        <f t="shared" si="155"/>
        <v>50831.624426535345</v>
      </c>
      <c r="JB7" s="428">
        <f t="shared" si="155"/>
        <v>51848.256915066049</v>
      </c>
      <c r="JC7" s="428">
        <f t="shared" si="155"/>
        <v>52885.222053367375</v>
      </c>
      <c r="JD7" s="428">
        <f t="shared" si="155"/>
        <v>53942.926494434716</v>
      </c>
      <c r="JE7" s="428">
        <f t="shared" si="155"/>
        <v>55021.785024323413</v>
      </c>
      <c r="JF7" s="428">
        <f t="shared" si="155"/>
        <v>56122.220724809878</v>
      </c>
      <c r="JG7" s="428">
        <f t="shared" si="155"/>
        <v>57244.665139306082</v>
      </c>
      <c r="JH7" s="428">
        <f t="shared" si="155"/>
        <v>58389.558442092188</v>
      </c>
      <c r="JI7" s="428">
        <f t="shared" si="155"/>
        <v>59557.349610934041</v>
      </c>
      <c r="JJ7" s="428">
        <f t="shared" si="156"/>
        <v>60748.496603152729</v>
      </c>
      <c r="JK7" s="428">
        <f t="shared" si="156"/>
        <v>61963.466535215775</v>
      </c>
      <c r="JL7" s="428">
        <f t="shared" si="156"/>
        <v>63202.735865920091</v>
      </c>
      <c r="JM7" s="428">
        <f t="shared" si="156"/>
        <v>64466.7905832385</v>
      </c>
      <c r="JN7" s="428">
        <f t="shared" si="156"/>
        <v>65756.126394903258</v>
      </c>
      <c r="JO7" s="428">
        <f t="shared" si="156"/>
        <v>67071.248922801329</v>
      </c>
      <c r="JP7" s="428">
        <f t="shared" si="156"/>
        <v>68412.673901257353</v>
      </c>
      <c r="JQ7" s="428">
        <f t="shared" si="156"/>
        <v>69780.927379282497</v>
      </c>
      <c r="JR7" s="428">
        <f t="shared" si="156"/>
        <v>71176.545926868144</v>
      </c>
      <c r="JS7" s="428">
        <f t="shared" si="156"/>
        <v>72600.076845405521</v>
      </c>
      <c r="JT7" s="428">
        <f t="shared" si="156"/>
        <v>74052.078382313615</v>
      </c>
      <c r="JU7" s="428">
        <f t="shared" si="156"/>
        <v>75533.119949959902</v>
      </c>
      <c r="JV7" s="428">
        <f t="shared" si="156"/>
        <v>77043.782348959096</v>
      </c>
      <c r="JW7" s="428">
        <f t="shared" si="156"/>
        <v>78584.65799593828</v>
      </c>
      <c r="JX7" s="432"/>
      <c r="JY7" s="435">
        <f t="shared" si="157"/>
        <v>21</v>
      </c>
      <c r="JZ7" s="435">
        <f t="shared" si="158"/>
        <v>0</v>
      </c>
      <c r="KA7" s="435">
        <f t="shared" si="159"/>
        <v>0</v>
      </c>
      <c r="KB7" s="435">
        <f t="shared" si="160"/>
        <v>0</v>
      </c>
      <c r="KC7" s="435">
        <f t="shared" si="161"/>
        <v>0</v>
      </c>
      <c r="KD7" s="435">
        <f t="shared" si="162"/>
        <v>0</v>
      </c>
      <c r="KE7" s="435">
        <f t="shared" si="163"/>
        <v>0</v>
      </c>
      <c r="KF7" s="432">
        <f t="shared" si="164"/>
        <v>328000</v>
      </c>
      <c r="KG7" s="445">
        <f t="shared" si="165"/>
        <v>0</v>
      </c>
      <c r="KH7" s="445">
        <f t="shared" si="166"/>
        <v>0</v>
      </c>
      <c r="KI7" s="445">
        <f t="shared" si="167"/>
        <v>0</v>
      </c>
      <c r="KJ7" s="445">
        <f t="shared" si="168"/>
        <v>0</v>
      </c>
      <c r="KK7" s="445">
        <f t="shared" si="169"/>
        <v>0</v>
      </c>
      <c r="KL7" s="434">
        <v>0</v>
      </c>
      <c r="KM7" s="432">
        <f t="shared" si="170"/>
        <v>0</v>
      </c>
      <c r="KN7" s="432">
        <f t="shared" si="171"/>
        <v>0</v>
      </c>
      <c r="KO7" s="432">
        <f t="shared" si="172"/>
        <v>0</v>
      </c>
      <c r="KP7" s="432">
        <f t="shared" si="173"/>
        <v>0</v>
      </c>
      <c r="KQ7" s="432">
        <f t="shared" si="174"/>
        <v>0</v>
      </c>
      <c r="KR7" s="435">
        <f t="shared" si="175"/>
        <v>0</v>
      </c>
      <c r="KS7" s="434">
        <f t="shared" si="176"/>
        <v>0</v>
      </c>
      <c r="KT7" s="432">
        <f t="shared" si="177"/>
        <v>0</v>
      </c>
      <c r="KU7" s="435">
        <f t="shared" si="178"/>
        <v>34.44</v>
      </c>
      <c r="KV7" s="433">
        <f t="shared" si="179"/>
        <v>0</v>
      </c>
      <c r="KW7" s="433">
        <f t="shared" si="180"/>
        <v>0</v>
      </c>
      <c r="KX7" s="436">
        <f t="shared" si="181"/>
        <v>2024</v>
      </c>
      <c r="KY7" s="411"/>
      <c r="KZ7" s="411"/>
      <c r="LA7" s="411"/>
      <c r="LB7" s="411"/>
      <c r="LC7" s="411"/>
      <c r="LD7" s="411"/>
      <c r="LE7" s="411"/>
      <c r="LF7" s="446">
        <f t="shared" si="182"/>
        <v>0</v>
      </c>
      <c r="LG7" s="446">
        <f t="shared" si="182"/>
        <v>0</v>
      </c>
      <c r="LH7" s="446">
        <f t="shared" si="182"/>
        <v>0</v>
      </c>
      <c r="LI7" s="446">
        <f t="shared" si="182"/>
        <v>0</v>
      </c>
      <c r="LJ7" s="446">
        <f t="shared" si="182"/>
        <v>0</v>
      </c>
      <c r="LK7" s="446">
        <f t="shared" si="182"/>
        <v>0</v>
      </c>
      <c r="LL7" s="446">
        <f t="shared" si="182"/>
        <v>0</v>
      </c>
      <c r="LM7" s="446">
        <f t="shared" si="182"/>
        <v>0</v>
      </c>
      <c r="LN7" s="446">
        <f t="shared" si="182"/>
        <v>0</v>
      </c>
      <c r="LO7" s="446">
        <f t="shared" si="182"/>
        <v>0</v>
      </c>
      <c r="LP7" s="446">
        <f t="shared" si="183"/>
        <v>0</v>
      </c>
      <c r="LQ7" s="446">
        <f t="shared" si="183"/>
        <v>0</v>
      </c>
      <c r="LR7" s="446">
        <f t="shared" si="183"/>
        <v>0</v>
      </c>
      <c r="LS7" s="446">
        <f t="shared" si="183"/>
        <v>0</v>
      </c>
      <c r="LT7" s="446">
        <f t="shared" si="183"/>
        <v>0</v>
      </c>
      <c r="LU7" s="446">
        <f t="shared" si="183"/>
        <v>0</v>
      </c>
      <c r="LV7" s="446">
        <f t="shared" si="183"/>
        <v>0</v>
      </c>
      <c r="LW7" s="446">
        <f t="shared" si="183"/>
        <v>0</v>
      </c>
      <c r="LX7" s="446">
        <f t="shared" si="183"/>
        <v>0</v>
      </c>
      <c r="LY7" s="446">
        <f t="shared" si="183"/>
        <v>0</v>
      </c>
      <c r="LZ7" s="446">
        <f t="shared" si="183"/>
        <v>0</v>
      </c>
      <c r="MA7" s="446">
        <f t="shared" si="183"/>
        <v>0</v>
      </c>
      <c r="MB7" s="446">
        <f t="shared" si="183"/>
        <v>0</v>
      </c>
      <c r="MC7" s="446">
        <f t="shared" si="183"/>
        <v>0</v>
      </c>
      <c r="MD7" s="496"/>
      <c r="ME7" s="497">
        <f t="shared" si="184"/>
        <v>0</v>
      </c>
      <c r="MF7" s="497">
        <f t="shared" si="185"/>
        <v>0</v>
      </c>
      <c r="MG7" s="497">
        <f t="shared" si="186"/>
        <v>0</v>
      </c>
      <c r="MH7" s="497">
        <f t="shared" si="187"/>
        <v>0</v>
      </c>
      <c r="MI7" s="497">
        <f t="shared" si="188"/>
        <v>0</v>
      </c>
      <c r="MJ7" s="498">
        <f t="shared" si="189"/>
        <v>0</v>
      </c>
      <c r="MK7" s="498">
        <f t="shared" si="190"/>
        <v>0</v>
      </c>
      <c r="ML7" s="498">
        <f t="shared" si="191"/>
        <v>0</v>
      </c>
      <c r="MM7" s="498">
        <f t="shared" si="192"/>
        <v>0</v>
      </c>
      <c r="MN7" s="498">
        <f t="shared" si="193"/>
        <v>0</v>
      </c>
      <c r="MO7" s="454"/>
      <c r="MP7" s="448">
        <f t="shared" si="194"/>
        <v>21</v>
      </c>
      <c r="MQ7" s="448">
        <f t="shared" si="195"/>
        <v>0</v>
      </c>
      <c r="MR7" s="448">
        <f t="shared" si="196"/>
        <v>0</v>
      </c>
      <c r="MS7" s="448">
        <f t="shared" si="197"/>
        <v>0</v>
      </c>
      <c r="MT7" s="448">
        <f t="shared" si="198"/>
        <v>0</v>
      </c>
      <c r="MU7" s="448">
        <f t="shared" si="199"/>
        <v>0</v>
      </c>
      <c r="MV7" s="448">
        <f t="shared" si="200"/>
        <v>0</v>
      </c>
      <c r="MW7" s="450">
        <f t="shared" si="201"/>
        <v>328000</v>
      </c>
      <c r="MX7" s="450">
        <f t="shared" si="202"/>
        <v>0</v>
      </c>
      <c r="MY7" s="450">
        <f t="shared" si="203"/>
        <v>0</v>
      </c>
      <c r="MZ7" s="450">
        <f t="shared" si="204"/>
        <v>0</v>
      </c>
      <c r="NA7" s="450">
        <f t="shared" si="205"/>
        <v>0</v>
      </c>
      <c r="NB7" s="450">
        <f t="shared" si="206"/>
        <v>0</v>
      </c>
      <c r="NC7" s="451">
        <f t="shared" si="207"/>
        <v>0</v>
      </c>
      <c r="ND7" s="449">
        <f t="shared" si="208"/>
        <v>0</v>
      </c>
      <c r="NE7" s="449">
        <f t="shared" si="209"/>
        <v>0</v>
      </c>
      <c r="NF7" s="449">
        <f t="shared" si="210"/>
        <v>0</v>
      </c>
      <c r="NG7" s="449">
        <f t="shared" si="211"/>
        <v>0</v>
      </c>
      <c r="NH7" s="449">
        <f t="shared" si="212"/>
        <v>0</v>
      </c>
      <c r="NI7" s="448">
        <f t="shared" si="213"/>
        <v>0</v>
      </c>
      <c r="NJ7" s="451">
        <f t="shared" si="214"/>
        <v>0</v>
      </c>
      <c r="NK7" s="449">
        <f t="shared" si="215"/>
        <v>0</v>
      </c>
      <c r="NL7" s="448">
        <f t="shared" si="216"/>
        <v>34.44</v>
      </c>
      <c r="NM7" s="452">
        <f t="shared" si="217"/>
        <v>0</v>
      </c>
      <c r="NN7" s="452">
        <f t="shared" si="218"/>
        <v>0</v>
      </c>
      <c r="NO7" s="453">
        <f t="shared" si="219"/>
        <v>2024</v>
      </c>
      <c r="NP7" s="423"/>
      <c r="NQ7" s="423"/>
      <c r="NR7" s="423"/>
      <c r="NS7" s="423"/>
      <c r="NT7" s="423"/>
      <c r="NU7" s="423"/>
      <c r="NV7" s="423"/>
      <c r="NW7" s="454">
        <f t="shared" si="220"/>
        <v>0</v>
      </c>
      <c r="NX7" s="454">
        <f t="shared" si="220"/>
        <v>0</v>
      </c>
      <c r="NY7" s="454">
        <f t="shared" si="220"/>
        <v>0</v>
      </c>
      <c r="NZ7" s="454">
        <f t="shared" si="220"/>
        <v>0</v>
      </c>
      <c r="OA7" s="454">
        <f t="shared" si="220"/>
        <v>0</v>
      </c>
      <c r="OB7" s="454">
        <f t="shared" si="220"/>
        <v>0</v>
      </c>
      <c r="OC7" s="454">
        <f t="shared" si="220"/>
        <v>0</v>
      </c>
      <c r="OD7" s="454">
        <f t="shared" si="220"/>
        <v>0</v>
      </c>
      <c r="OE7" s="454">
        <f t="shared" si="220"/>
        <v>0</v>
      </c>
      <c r="OF7" s="454">
        <f t="shared" si="220"/>
        <v>0</v>
      </c>
      <c r="OG7" s="454">
        <f t="shared" si="221"/>
        <v>0</v>
      </c>
      <c r="OH7" s="454">
        <f t="shared" si="221"/>
        <v>0</v>
      </c>
      <c r="OI7" s="454">
        <f t="shared" si="221"/>
        <v>0</v>
      </c>
      <c r="OJ7" s="454">
        <f t="shared" si="221"/>
        <v>0</v>
      </c>
      <c r="OK7" s="454">
        <f t="shared" si="221"/>
        <v>0</v>
      </c>
      <c r="OL7" s="454">
        <f t="shared" si="221"/>
        <v>0</v>
      </c>
      <c r="OM7" s="454">
        <f t="shared" si="221"/>
        <v>0</v>
      </c>
      <c r="ON7" s="454">
        <f t="shared" si="221"/>
        <v>0</v>
      </c>
      <c r="OO7" s="454">
        <f t="shared" si="221"/>
        <v>0</v>
      </c>
      <c r="OP7" s="454">
        <f t="shared" si="221"/>
        <v>0</v>
      </c>
      <c r="OQ7" s="454">
        <f t="shared" si="221"/>
        <v>0</v>
      </c>
      <c r="OR7" s="454">
        <f t="shared" si="221"/>
        <v>0</v>
      </c>
      <c r="OS7" s="454">
        <f t="shared" si="221"/>
        <v>0</v>
      </c>
      <c r="OT7" s="454">
        <f t="shared" si="221"/>
        <v>0</v>
      </c>
    </row>
    <row r="8" spans="1:410" s="11" customFormat="1" ht="30">
      <c r="A8" s="19" t="s">
        <v>578</v>
      </c>
      <c r="B8" s="19" t="s">
        <v>340</v>
      </c>
      <c r="C8" s="19" t="s">
        <v>434</v>
      </c>
      <c r="D8" s="19">
        <v>3</v>
      </c>
      <c r="E8" s="19" t="s">
        <v>293</v>
      </c>
      <c r="F8" s="19" t="s">
        <v>420</v>
      </c>
      <c r="G8" s="23" t="s">
        <v>53</v>
      </c>
      <c r="H8" s="23"/>
      <c r="I8" s="442">
        <v>43532</v>
      </c>
      <c r="J8" s="20"/>
      <c r="K8" s="20"/>
      <c r="L8" s="20"/>
      <c r="M8" s="20"/>
      <c r="N8" s="20"/>
      <c r="O8" s="442">
        <f t="shared" si="3"/>
        <v>0</v>
      </c>
      <c r="P8" s="21"/>
      <c r="Q8" s="21" t="s">
        <v>70</v>
      </c>
      <c r="R8" s="27">
        <f t="shared" si="4"/>
        <v>79.149090909090916</v>
      </c>
      <c r="S8" s="27">
        <v>2</v>
      </c>
      <c r="T8" s="27">
        <f>I8*S8</f>
        <v>87064</v>
      </c>
      <c r="U8" s="21">
        <v>35</v>
      </c>
      <c r="V8" s="19" t="s">
        <v>54</v>
      </c>
      <c r="W8" s="22" t="s">
        <v>26</v>
      </c>
      <c r="X8" s="19" t="s">
        <v>37</v>
      </c>
      <c r="Y8" s="19"/>
      <c r="Z8" s="19" t="s">
        <v>3</v>
      </c>
      <c r="AA8" s="219" t="s">
        <v>90</v>
      </c>
      <c r="AB8" s="219" t="s">
        <v>91</v>
      </c>
      <c r="AC8" s="224">
        <v>350</v>
      </c>
      <c r="AD8" s="224">
        <f t="shared" si="5"/>
        <v>15236200</v>
      </c>
      <c r="AE8" s="24"/>
      <c r="AF8" s="273"/>
      <c r="AG8" s="220">
        <f t="shared" si="6"/>
        <v>15236200</v>
      </c>
      <c r="AH8" s="220">
        <f t="shared" si="7"/>
        <v>15236200</v>
      </c>
      <c r="AI8" s="24" t="s">
        <v>252</v>
      </c>
      <c r="AJ8" s="228">
        <f>VLOOKUP($Q8,'Zoning Density'!$A$1:$E$28,3,)</f>
        <v>550</v>
      </c>
      <c r="AK8" s="228">
        <f t="shared" si="8"/>
        <v>550</v>
      </c>
      <c r="AL8" s="229">
        <f t="shared" si="9"/>
        <v>79.149090909090916</v>
      </c>
      <c r="AM8" s="229">
        <f t="shared" si="10"/>
        <v>79.149090909090916</v>
      </c>
      <c r="AN8" s="228">
        <v>1</v>
      </c>
      <c r="AO8" s="221">
        <f>VLOOKUP($AI8,Funding!$A$1:$G$6,3,FALSE)*$AG8</f>
        <v>0</v>
      </c>
      <c r="AP8" s="221">
        <f>VLOOKUP($AI8,Funding!$A$1:$G$6,4,FALSE)*$AG8</f>
        <v>15236200</v>
      </c>
      <c r="AQ8" s="351"/>
      <c r="AR8" s="274"/>
      <c r="AS8" s="222">
        <f t="shared" si="11"/>
        <v>79</v>
      </c>
      <c r="AT8" s="222"/>
      <c r="AU8" s="222">
        <f t="shared" si="12"/>
        <v>79</v>
      </c>
      <c r="AV8" s="221">
        <f>VLOOKUP($AN8,'Impact Fee'!$A$1:$E$20,5,FALSE)*AU8</f>
        <v>1738000</v>
      </c>
      <c r="AW8" s="221">
        <f t="shared" si="13"/>
        <v>0</v>
      </c>
      <c r="AX8" s="221"/>
      <c r="AY8" s="321"/>
      <c r="AZ8" s="221">
        <f t="shared" si="14"/>
        <v>1738000</v>
      </c>
      <c r="BA8" s="221">
        <f t="shared" si="15"/>
        <v>1738000</v>
      </c>
      <c r="BB8" s="221">
        <f t="shared" si="16"/>
        <v>16974200</v>
      </c>
      <c r="BC8" s="271">
        <f t="shared" si="222"/>
        <v>13.904</v>
      </c>
      <c r="BD8" s="271">
        <f t="shared" si="223"/>
        <v>135.7936</v>
      </c>
      <c r="BE8" s="271"/>
      <c r="BF8" s="221">
        <f t="shared" si="17"/>
        <v>25912000</v>
      </c>
      <c r="BG8" s="221">
        <f t="shared" si="18"/>
        <v>0</v>
      </c>
      <c r="BH8" s="221">
        <f t="shared" si="19"/>
        <v>0</v>
      </c>
      <c r="BI8" s="221">
        <f t="shared" si="20"/>
        <v>0</v>
      </c>
      <c r="BJ8" s="221">
        <f t="shared" si="21"/>
        <v>0</v>
      </c>
      <c r="BK8" s="221">
        <f t="shared" si="22"/>
        <v>0</v>
      </c>
      <c r="BL8" s="221">
        <f t="shared" si="23"/>
        <v>0</v>
      </c>
      <c r="BM8" s="221">
        <f t="shared" si="24"/>
        <v>0</v>
      </c>
      <c r="BN8" s="259"/>
      <c r="BO8" s="260"/>
      <c r="BP8" s="259">
        <f t="shared" si="25"/>
        <v>79</v>
      </c>
      <c r="BQ8" s="261">
        <v>1</v>
      </c>
      <c r="BR8" s="261">
        <f>IF(BQ8&gt;0.2,0.35,VLOOKUP(BQ8,'Density Bonus'!$A$1:$B$15,2,FALSE))</f>
        <v>0.35</v>
      </c>
      <c r="BS8" s="262">
        <f t="shared" si="26"/>
        <v>96.737777777777779</v>
      </c>
      <c r="BT8" s="262">
        <f t="shared" si="27"/>
        <v>97</v>
      </c>
      <c r="BU8" s="349"/>
      <c r="BV8" s="263">
        <f t="shared" si="28"/>
        <v>97</v>
      </c>
      <c r="BW8" s="263">
        <f t="shared" si="29"/>
        <v>0</v>
      </c>
      <c r="BX8" s="264">
        <f t="shared" si="30"/>
        <v>0</v>
      </c>
      <c r="BY8" s="264">
        <f>IF(BQ8&lt;0.15,(VLOOKUP($AN8,'Impact Fee'!$A$1:$E$10,5,FALSE)*BW8),0)</f>
        <v>0</v>
      </c>
      <c r="BZ8" s="264">
        <f t="shared" si="31"/>
        <v>0</v>
      </c>
      <c r="CA8" s="264">
        <f t="shared" si="32"/>
        <v>0</v>
      </c>
      <c r="CB8" s="264">
        <f t="shared" si="33"/>
        <v>0</v>
      </c>
      <c r="CC8" s="264">
        <f t="shared" si="34"/>
        <v>0</v>
      </c>
      <c r="CD8" s="264">
        <f t="shared" si="35"/>
        <v>0</v>
      </c>
      <c r="CE8" s="264">
        <f>CD8*IF(F8="Commercial",CE$3,VLOOKUP($AI8,Funding!$A$1:$G$6,5,FALSE))</f>
        <v>0</v>
      </c>
      <c r="CF8" s="264">
        <f t="shared" si="36"/>
        <v>0</v>
      </c>
      <c r="CG8" s="264">
        <f t="shared" si="37"/>
        <v>-9869944</v>
      </c>
      <c r="CH8" s="264">
        <f t="shared" si="38"/>
        <v>-9869944</v>
      </c>
      <c r="CI8" s="264"/>
      <c r="CJ8" s="264">
        <f t="shared" si="39"/>
        <v>31816000</v>
      </c>
      <c r="CK8" s="264">
        <f t="shared" si="40"/>
        <v>0</v>
      </c>
      <c r="CL8" s="264">
        <f t="shared" si="41"/>
        <v>-1590800</v>
      </c>
      <c r="CM8" s="264">
        <f t="shared" si="42"/>
        <v>0</v>
      </c>
      <c r="CN8" s="264">
        <f t="shared" si="43"/>
        <v>0</v>
      </c>
      <c r="CO8" s="264">
        <f t="shared" si="44"/>
        <v>-1590800</v>
      </c>
      <c r="CP8" s="264">
        <f t="shared" si="45"/>
        <v>0</v>
      </c>
      <c r="CQ8" s="264">
        <f t="shared" si="46"/>
        <v>0</v>
      </c>
      <c r="CR8" s="264">
        <f t="shared" si="47"/>
        <v>0</v>
      </c>
      <c r="CS8" s="520"/>
      <c r="CT8" s="521"/>
      <c r="CU8" s="520">
        <f t="shared" si="48"/>
        <v>79</v>
      </c>
      <c r="CV8" s="522">
        <v>1</v>
      </c>
      <c r="CW8" s="522">
        <f>IF(CV8&gt;0.2,0.35,VLOOKUP(CV8,'Density Bonus'!$A$1:$B$15,2,FALSE))</f>
        <v>0.35</v>
      </c>
      <c r="CX8" s="523">
        <f t="shared" si="49"/>
        <v>96.737777777777779</v>
      </c>
      <c r="CY8" s="523">
        <f t="shared" si="50"/>
        <v>97</v>
      </c>
      <c r="CZ8" s="347"/>
      <c r="DA8" s="524">
        <f t="shared" si="51"/>
        <v>97</v>
      </c>
      <c r="DB8" s="524">
        <f t="shared" si="52"/>
        <v>0</v>
      </c>
      <c r="DC8" s="525">
        <f t="shared" si="53"/>
        <v>0</v>
      </c>
      <c r="DD8" s="525">
        <f>IF(CV8&lt;0.4,VLOOKUP($AN8,'Impact Fee'!$A$1:$E$10,5,FALSE)*DB8,0)</f>
        <v>0</v>
      </c>
      <c r="DE8" s="525">
        <f t="shared" si="54"/>
        <v>0</v>
      </c>
      <c r="DF8" s="525">
        <f t="shared" si="55"/>
        <v>0</v>
      </c>
      <c r="DG8" s="525">
        <f t="shared" si="56"/>
        <v>9869944</v>
      </c>
      <c r="DH8" s="525">
        <f t="shared" si="57"/>
        <v>0</v>
      </c>
      <c r="DI8" s="525">
        <f t="shared" si="58"/>
        <v>-11460744</v>
      </c>
      <c r="DJ8" s="525">
        <f t="shared" si="59"/>
        <v>0</v>
      </c>
      <c r="DK8" s="525">
        <f t="shared" si="60"/>
        <v>0</v>
      </c>
      <c r="DL8" s="525">
        <f t="shared" si="61"/>
        <v>-1590800</v>
      </c>
      <c r="DM8" s="525">
        <f t="shared" si="62"/>
        <v>0</v>
      </c>
      <c r="DN8" s="525">
        <f t="shared" si="63"/>
        <v>0</v>
      </c>
      <c r="DO8" s="525">
        <f>VLOOKUP($AI8,Funding!$A$1:$G$6,6,FALSE)*DN8</f>
        <v>0</v>
      </c>
      <c r="DP8" s="525">
        <f t="shared" si="64"/>
        <v>0</v>
      </c>
      <c r="DQ8" s="525">
        <f t="shared" si="65"/>
        <v>-11460744</v>
      </c>
      <c r="DR8" s="525">
        <f t="shared" si="66"/>
        <v>-11460744</v>
      </c>
      <c r="DS8" s="525"/>
      <c r="DT8" s="525">
        <f t="shared" si="67"/>
        <v>31816000</v>
      </c>
      <c r="DU8" s="525">
        <f t="shared" si="68"/>
        <v>0</v>
      </c>
      <c r="DV8" s="525">
        <f t="shared" si="69"/>
        <v>-1590800</v>
      </c>
      <c r="DW8" s="525">
        <f t="shared" si="70"/>
        <v>0</v>
      </c>
      <c r="DX8" s="525">
        <f t="shared" si="71"/>
        <v>0</v>
      </c>
      <c r="DY8" s="525">
        <f t="shared" si="72"/>
        <v>0</v>
      </c>
      <c r="DZ8" s="525">
        <f t="shared" si="73"/>
        <v>0</v>
      </c>
      <c r="EA8" s="819"/>
      <c r="EB8" s="820"/>
      <c r="EC8" s="819">
        <f t="shared" si="74"/>
        <v>79</v>
      </c>
      <c r="ED8" s="821">
        <v>1</v>
      </c>
      <c r="EE8" s="821">
        <f>IF(ED8&gt;0.2,0.35,VLOOKUP(ED8,'Density Bonus'!$A$1:$B$15,2,FALSE))</f>
        <v>0.35</v>
      </c>
      <c r="EF8" s="822">
        <f t="shared" si="75"/>
        <v>96.737777777777779</v>
      </c>
      <c r="EG8" s="822">
        <f t="shared" si="76"/>
        <v>97</v>
      </c>
      <c r="EH8" s="823"/>
      <c r="EI8" s="824">
        <f t="shared" si="77"/>
        <v>97</v>
      </c>
      <c r="EJ8" s="824">
        <f t="shared" si="78"/>
        <v>0</v>
      </c>
      <c r="EK8" s="825">
        <f t="shared" si="79"/>
        <v>0</v>
      </c>
      <c r="EL8" s="825">
        <f>IF(ED8&lt;0.4,VLOOKUP($AN8,'Impact Fee'!$A$1:$E$10,5,FALSE)*EJ8,0)</f>
        <v>0</v>
      </c>
      <c r="EM8" s="825">
        <f t="shared" si="80"/>
        <v>0</v>
      </c>
      <c r="EN8" s="825">
        <f t="shared" si="81"/>
        <v>0</v>
      </c>
      <c r="EO8" s="825">
        <f t="shared" si="82"/>
        <v>9869944</v>
      </c>
      <c r="EP8" s="825">
        <f t="shared" si="83"/>
        <v>0</v>
      </c>
      <c r="EQ8" s="825">
        <f t="shared" si="84"/>
        <v>-11460744</v>
      </c>
      <c r="ER8" s="825">
        <f t="shared" si="85"/>
        <v>0</v>
      </c>
      <c r="ES8" s="825">
        <f t="shared" si="86"/>
        <v>0</v>
      </c>
      <c r="ET8" s="825">
        <f t="shared" si="87"/>
        <v>-1590800</v>
      </c>
      <c r="EU8" s="825">
        <f t="shared" si="88"/>
        <v>0</v>
      </c>
      <c r="EV8" s="825">
        <f t="shared" si="89"/>
        <v>0</v>
      </c>
      <c r="EW8" s="825">
        <f>VLOOKUP($AI8,Funding!$A$1:$G$6,6,FALSE)*EV8</f>
        <v>0</v>
      </c>
      <c r="EX8" s="825">
        <f t="shared" si="90"/>
        <v>0</v>
      </c>
      <c r="EY8" s="825">
        <f t="shared" si="91"/>
        <v>-11460744</v>
      </c>
      <c r="EZ8" s="825">
        <f t="shared" si="92"/>
        <v>-11460744</v>
      </c>
      <c r="FA8" s="825"/>
      <c r="FB8" s="825">
        <f t="shared" si="93"/>
        <v>31816000</v>
      </c>
      <c r="FC8" s="825">
        <f t="shared" si="94"/>
        <v>0</v>
      </c>
      <c r="FD8" s="825">
        <f t="shared" si="95"/>
        <v>-1590800</v>
      </c>
      <c r="FE8" s="825">
        <f t="shared" si="96"/>
        <v>0</v>
      </c>
      <c r="FF8" s="825">
        <f t="shared" si="97"/>
        <v>0</v>
      </c>
      <c r="FG8" s="825">
        <f t="shared" si="98"/>
        <v>0</v>
      </c>
      <c r="FH8" s="825">
        <f t="shared" si="99"/>
        <v>0</v>
      </c>
      <c r="FI8" s="545"/>
      <c r="FJ8" s="546"/>
      <c r="FK8" s="546"/>
      <c r="FL8" s="545">
        <f t="shared" si="100"/>
        <v>79</v>
      </c>
      <c r="FM8" s="547">
        <v>0.15</v>
      </c>
      <c r="FN8" s="547">
        <f>IF(FM8&gt;0.2,0.35,VLOOKUP(FM8,'Density Bonus'!$A$1:$B$15,2,FALSE))</f>
        <v>0.27500000000000002</v>
      </c>
      <c r="FO8" s="548">
        <f t="shared" si="101"/>
        <v>96.737777777777779</v>
      </c>
      <c r="FP8" s="548">
        <f t="shared" si="102"/>
        <v>97</v>
      </c>
      <c r="FQ8" s="347"/>
      <c r="FR8" s="549">
        <f t="shared" si="103"/>
        <v>15</v>
      </c>
      <c r="FS8" s="549">
        <f t="shared" si="104"/>
        <v>82</v>
      </c>
      <c r="FT8" s="550">
        <f t="shared" si="105"/>
        <v>0</v>
      </c>
      <c r="FU8" s="550">
        <f>IF(FM8&lt;0.15,(VLOOKUP($AN8,'Impact Fee'!$A$1:$E$10,5,FALSE)*FS8),0)</f>
        <v>0</v>
      </c>
      <c r="FV8" s="550">
        <f t="shared" si="106"/>
        <v>0</v>
      </c>
      <c r="FW8" s="550">
        <f t="shared" si="107"/>
        <v>15236200</v>
      </c>
      <c r="FX8" s="550">
        <f t="shared" si="108"/>
        <v>3368495.9999999995</v>
      </c>
      <c r="FY8" s="550">
        <f t="shared" si="109"/>
        <v>0</v>
      </c>
      <c r="FZ8" s="550">
        <f t="shared" si="110"/>
        <v>11867704</v>
      </c>
      <c r="GA8" s="550">
        <f>VLOOKUP($AI8,Funding!$A$1:$G$6,3,FALSE)*FZ8</f>
        <v>0</v>
      </c>
      <c r="GB8" s="550">
        <f t="shared" si="111"/>
        <v>0</v>
      </c>
      <c r="GC8" s="550">
        <f t="shared" si="112"/>
        <v>0</v>
      </c>
      <c r="GD8" s="550">
        <f t="shared" si="113"/>
        <v>0</v>
      </c>
      <c r="GE8" s="550"/>
      <c r="GF8" s="550">
        <f t="shared" si="114"/>
        <v>31816000</v>
      </c>
      <c r="GG8" s="550">
        <f t="shared" si="115"/>
        <v>0</v>
      </c>
      <c r="GH8" s="550">
        <f t="shared" si="116"/>
        <v>-1590800</v>
      </c>
      <c r="GI8" s="550">
        <f t="shared" si="117"/>
        <v>0</v>
      </c>
      <c r="GJ8" s="550">
        <f t="shared" si="118"/>
        <v>0</v>
      </c>
      <c r="GK8" s="550">
        <f t="shared" si="119"/>
        <v>-1590800</v>
      </c>
      <c r="GL8" s="550">
        <f t="shared" si="120"/>
        <v>-1590800</v>
      </c>
      <c r="GM8" s="550">
        <f t="shared" si="121"/>
        <v>0</v>
      </c>
      <c r="GN8" s="550">
        <f t="shared" si="122"/>
        <v>-1590800</v>
      </c>
      <c r="GO8" s="199"/>
      <c r="GP8" s="275"/>
      <c r="GQ8" s="199">
        <f t="shared" si="123"/>
        <v>79</v>
      </c>
      <c r="GR8" s="34">
        <v>1</v>
      </c>
      <c r="GS8" s="34">
        <f>IF(GR8&gt;0.2,0.35,VLOOKUP(GR8,'Density Bonus'!$A$1:$B$15,2,FALSE))</f>
        <v>0.35</v>
      </c>
      <c r="GT8" s="235">
        <f t="shared" si="124"/>
        <v>96.737777777777779</v>
      </c>
      <c r="GU8" s="235">
        <f t="shared" si="125"/>
        <v>97</v>
      </c>
      <c r="GV8" s="347"/>
      <c r="GW8" s="31">
        <f t="shared" si="126"/>
        <v>97</v>
      </c>
      <c r="GX8" s="31">
        <f t="shared" si="127"/>
        <v>0</v>
      </c>
      <c r="GY8" s="196" t="str">
        <f t="shared" si="128"/>
        <v/>
      </c>
      <c r="GZ8" s="238">
        <f t="shared" si="129"/>
        <v>0</v>
      </c>
      <c r="HA8" s="238">
        <f t="shared" si="130"/>
        <v>-1590800</v>
      </c>
      <c r="HB8" s="238">
        <f t="shared" si="131"/>
        <v>0</v>
      </c>
      <c r="HC8" s="238">
        <f t="shared" si="224"/>
        <v>0</v>
      </c>
      <c r="HD8" s="238">
        <f>VLOOKUP($AI8,Funding!$A$1:$G$6,7,FALSE)*HC8</f>
        <v>0</v>
      </c>
      <c r="HE8" s="238">
        <f t="shared" si="225"/>
        <v>0</v>
      </c>
      <c r="HF8" s="238">
        <f t="shared" si="226"/>
        <v>-11460744</v>
      </c>
      <c r="HG8" s="238">
        <f t="shared" si="132"/>
        <v>-11460744</v>
      </c>
      <c r="HH8" s="238"/>
      <c r="HI8" s="238">
        <f t="shared" si="133"/>
        <v>31816000</v>
      </c>
      <c r="HJ8" s="238">
        <f t="shared" si="134"/>
        <v>0</v>
      </c>
      <c r="HK8" s="238">
        <f t="shared" si="135"/>
        <v>-1590800</v>
      </c>
      <c r="HL8" s="238">
        <f t="shared" si="136"/>
        <v>0</v>
      </c>
      <c r="HM8" s="238">
        <f t="shared" si="137"/>
        <v>0</v>
      </c>
      <c r="HN8" s="238">
        <f t="shared" si="138"/>
        <v>0</v>
      </c>
      <c r="HO8" s="238">
        <f t="shared" si="139"/>
        <v>0</v>
      </c>
      <c r="HP8" s="397"/>
      <c r="HQ8" s="424"/>
      <c r="HR8" s="426">
        <f t="shared" si="140"/>
        <v>15236200</v>
      </c>
      <c r="HS8" s="425">
        <f t="shared" si="141"/>
        <v>0</v>
      </c>
      <c r="HT8" s="425">
        <f t="shared" si="142"/>
        <v>79</v>
      </c>
      <c r="HU8" s="429">
        <f t="shared" si="143"/>
        <v>0</v>
      </c>
      <c r="HV8" s="429">
        <f t="shared" si="143"/>
        <v>0</v>
      </c>
      <c r="HW8" s="429">
        <f t="shared" si="143"/>
        <v>0</v>
      </c>
      <c r="HX8" s="429">
        <f t="shared" si="143"/>
        <v>0</v>
      </c>
      <c r="HY8" s="429">
        <f t="shared" si="143"/>
        <v>0</v>
      </c>
      <c r="HZ8" s="426">
        <f t="shared" si="144"/>
        <v>328000</v>
      </c>
      <c r="IA8" s="426"/>
      <c r="IB8" s="426"/>
      <c r="IC8" s="425"/>
      <c r="ID8" s="425"/>
      <c r="IE8" s="425"/>
      <c r="IF8" s="427">
        <f>((HR8+(HT8*HZ8)+(HU8*IA8)+(HV8*IB8)+(HW8*IC8)+(HX8*ID8))*0.01*0.29)</f>
        <v>119329.78</v>
      </c>
      <c r="IG8" s="428">
        <f t="shared" si="145"/>
        <v>68429.456600000034</v>
      </c>
      <c r="IH8" s="428">
        <f t="shared" si="146"/>
        <v>0</v>
      </c>
      <c r="II8" s="428">
        <f t="shared" si="147"/>
        <v>33395.421150000002</v>
      </c>
      <c r="IJ8" s="428">
        <f t="shared" si="148"/>
        <v>0</v>
      </c>
      <c r="IK8" s="428">
        <f t="shared" si="149"/>
        <v>221154.65775000004</v>
      </c>
      <c r="IL8" s="429">
        <f t="shared" si="150"/>
        <v>0</v>
      </c>
      <c r="IM8" s="427">
        <f>Sites!AG8</f>
        <v>15236200</v>
      </c>
      <c r="IN8" s="428">
        <f t="shared" si="151"/>
        <v>228543</v>
      </c>
      <c r="IO8" s="429">
        <f t="shared" si="152"/>
        <v>129.56</v>
      </c>
      <c r="IP8" s="426">
        <f t="shared" si="153"/>
        <v>7728284.3263222901</v>
      </c>
      <c r="IQ8" s="426">
        <f t="shared" si="154"/>
        <v>4244751.5655753128</v>
      </c>
      <c r="IR8" s="430">
        <v>2024</v>
      </c>
      <c r="IS8" s="431"/>
      <c r="IT8" s="431"/>
      <c r="IU8" s="431"/>
      <c r="IV8" s="428"/>
      <c r="IW8" s="428"/>
      <c r="IX8" s="428"/>
      <c r="IY8" s="428"/>
      <c r="IZ8" s="428">
        <f t="shared" si="155"/>
        <v>254037.18569130677</v>
      </c>
      <c r="JA8" s="428">
        <f t="shared" si="155"/>
        <v>259117.92940513292</v>
      </c>
      <c r="JB8" s="428">
        <f t="shared" si="155"/>
        <v>264300.28799323557</v>
      </c>
      <c r="JC8" s="428">
        <f t="shared" si="155"/>
        <v>269586.29375310033</v>
      </c>
      <c r="JD8" s="428">
        <f t="shared" si="155"/>
        <v>274978.01962816226</v>
      </c>
      <c r="JE8" s="428">
        <f t="shared" si="155"/>
        <v>280477.58002072555</v>
      </c>
      <c r="JF8" s="428">
        <f t="shared" si="155"/>
        <v>286087.13162114006</v>
      </c>
      <c r="JG8" s="428">
        <f t="shared" si="155"/>
        <v>291808.87425356288</v>
      </c>
      <c r="JH8" s="428">
        <f t="shared" si="155"/>
        <v>297645.05173863407</v>
      </c>
      <c r="JI8" s="428">
        <f t="shared" si="155"/>
        <v>303597.95277340681</v>
      </c>
      <c r="JJ8" s="428">
        <f t="shared" si="156"/>
        <v>309669.91182887496</v>
      </c>
      <c r="JK8" s="428">
        <f t="shared" si="156"/>
        <v>315863.31006545242</v>
      </c>
      <c r="JL8" s="428">
        <f t="shared" si="156"/>
        <v>322180.57626676146</v>
      </c>
      <c r="JM8" s="428">
        <f t="shared" si="156"/>
        <v>328624.18779209669</v>
      </c>
      <c r="JN8" s="428">
        <f t="shared" si="156"/>
        <v>335196.6715479386</v>
      </c>
      <c r="JO8" s="428">
        <f t="shared" si="156"/>
        <v>341900.60497889743</v>
      </c>
      <c r="JP8" s="428">
        <f t="shared" si="156"/>
        <v>348738.6170784753</v>
      </c>
      <c r="JQ8" s="428">
        <f t="shared" si="156"/>
        <v>355713.38942004484</v>
      </c>
      <c r="JR8" s="428">
        <f t="shared" si="156"/>
        <v>362827.65720844571</v>
      </c>
      <c r="JS8" s="428">
        <f t="shared" si="156"/>
        <v>370084.2103526147</v>
      </c>
      <c r="JT8" s="428">
        <f t="shared" si="156"/>
        <v>377485.89455966692</v>
      </c>
      <c r="JU8" s="428">
        <f t="shared" si="156"/>
        <v>385035.61245086032</v>
      </c>
      <c r="JV8" s="428">
        <f t="shared" si="156"/>
        <v>392736.32469987747</v>
      </c>
      <c r="JW8" s="428">
        <f t="shared" si="156"/>
        <v>400591.05119387503</v>
      </c>
      <c r="JX8" s="432"/>
      <c r="JY8" s="435">
        <f t="shared" si="157"/>
        <v>97</v>
      </c>
      <c r="JZ8" s="435">
        <f t="shared" si="158"/>
        <v>0</v>
      </c>
      <c r="KA8" s="435">
        <f t="shared" si="159"/>
        <v>0</v>
      </c>
      <c r="KB8" s="435">
        <f t="shared" si="160"/>
        <v>0</v>
      </c>
      <c r="KC8" s="435">
        <f t="shared" si="161"/>
        <v>0</v>
      </c>
      <c r="KD8" s="435">
        <f t="shared" si="162"/>
        <v>0</v>
      </c>
      <c r="KE8" s="435">
        <f t="shared" si="163"/>
        <v>0</v>
      </c>
      <c r="KF8" s="432">
        <f t="shared" si="164"/>
        <v>328000</v>
      </c>
      <c r="KG8" s="445">
        <f t="shared" si="165"/>
        <v>0</v>
      </c>
      <c r="KH8" s="445">
        <f t="shared" si="166"/>
        <v>0</v>
      </c>
      <c r="KI8" s="445">
        <f t="shared" si="167"/>
        <v>0</v>
      </c>
      <c r="KJ8" s="445">
        <f t="shared" si="168"/>
        <v>0</v>
      </c>
      <c r="KK8" s="445">
        <f t="shared" si="169"/>
        <v>0</v>
      </c>
      <c r="KL8" s="434">
        <v>0</v>
      </c>
      <c r="KM8" s="432">
        <f t="shared" si="170"/>
        <v>0</v>
      </c>
      <c r="KN8" s="432">
        <f t="shared" si="171"/>
        <v>0</v>
      </c>
      <c r="KO8" s="432">
        <f t="shared" si="172"/>
        <v>0</v>
      </c>
      <c r="KP8" s="432">
        <f t="shared" si="173"/>
        <v>0</v>
      </c>
      <c r="KQ8" s="432">
        <f t="shared" si="174"/>
        <v>0</v>
      </c>
      <c r="KR8" s="435">
        <f t="shared" si="175"/>
        <v>0</v>
      </c>
      <c r="KS8" s="434">
        <f t="shared" si="176"/>
        <v>0</v>
      </c>
      <c r="KT8" s="432">
        <f t="shared" si="177"/>
        <v>0</v>
      </c>
      <c r="KU8" s="435">
        <f t="shared" si="178"/>
        <v>159.08000000000001</v>
      </c>
      <c r="KV8" s="433">
        <f t="shared" si="179"/>
        <v>0</v>
      </c>
      <c r="KW8" s="433">
        <f t="shared" si="180"/>
        <v>0</v>
      </c>
      <c r="KX8" s="436">
        <f t="shared" si="181"/>
        <v>2024</v>
      </c>
      <c r="KY8" s="411"/>
      <c r="KZ8" s="411"/>
      <c r="LA8" s="411"/>
      <c r="LB8" s="411"/>
      <c r="LC8" s="411"/>
      <c r="LD8" s="411"/>
      <c r="LE8" s="411"/>
      <c r="LF8" s="446">
        <f t="shared" si="182"/>
        <v>0</v>
      </c>
      <c r="LG8" s="446">
        <f t="shared" si="182"/>
        <v>0</v>
      </c>
      <c r="LH8" s="446">
        <f t="shared" si="182"/>
        <v>0</v>
      </c>
      <c r="LI8" s="446">
        <f t="shared" si="182"/>
        <v>0</v>
      </c>
      <c r="LJ8" s="446">
        <f t="shared" si="182"/>
        <v>0</v>
      </c>
      <c r="LK8" s="446">
        <f t="shared" si="182"/>
        <v>0</v>
      </c>
      <c r="LL8" s="446">
        <f t="shared" si="182"/>
        <v>0</v>
      </c>
      <c r="LM8" s="446">
        <f t="shared" si="182"/>
        <v>0</v>
      </c>
      <c r="LN8" s="446">
        <f t="shared" si="182"/>
        <v>0</v>
      </c>
      <c r="LO8" s="446">
        <f t="shared" si="182"/>
        <v>0</v>
      </c>
      <c r="LP8" s="446">
        <f t="shared" si="183"/>
        <v>0</v>
      </c>
      <c r="LQ8" s="446">
        <f t="shared" si="183"/>
        <v>0</v>
      </c>
      <c r="LR8" s="446">
        <f t="shared" si="183"/>
        <v>0</v>
      </c>
      <c r="LS8" s="446">
        <f t="shared" si="183"/>
        <v>0</v>
      </c>
      <c r="LT8" s="446">
        <f t="shared" si="183"/>
        <v>0</v>
      </c>
      <c r="LU8" s="446">
        <f t="shared" si="183"/>
        <v>0</v>
      </c>
      <c r="LV8" s="446">
        <f t="shared" si="183"/>
        <v>0</v>
      </c>
      <c r="LW8" s="446">
        <f t="shared" si="183"/>
        <v>0</v>
      </c>
      <c r="LX8" s="446">
        <f t="shared" si="183"/>
        <v>0</v>
      </c>
      <c r="LY8" s="446">
        <f t="shared" si="183"/>
        <v>0</v>
      </c>
      <c r="LZ8" s="446">
        <f t="shared" si="183"/>
        <v>0</v>
      </c>
      <c r="MA8" s="446">
        <f t="shared" si="183"/>
        <v>0</v>
      </c>
      <c r="MB8" s="446">
        <f t="shared" si="183"/>
        <v>0</v>
      </c>
      <c r="MC8" s="446">
        <f t="shared" si="183"/>
        <v>0</v>
      </c>
      <c r="MD8" s="496"/>
      <c r="ME8" s="497">
        <f t="shared" si="184"/>
        <v>0</v>
      </c>
      <c r="MF8" s="497">
        <f t="shared" si="185"/>
        <v>0</v>
      </c>
      <c r="MG8" s="497">
        <f t="shared" si="186"/>
        <v>0</v>
      </c>
      <c r="MH8" s="497">
        <f t="shared" si="187"/>
        <v>0</v>
      </c>
      <c r="MI8" s="497">
        <f t="shared" si="188"/>
        <v>0</v>
      </c>
      <c r="MJ8" s="498">
        <f t="shared" si="189"/>
        <v>0</v>
      </c>
      <c r="MK8" s="498">
        <f t="shared" si="190"/>
        <v>0</v>
      </c>
      <c r="ML8" s="498">
        <f t="shared" si="191"/>
        <v>0</v>
      </c>
      <c r="MM8" s="498">
        <f t="shared" si="192"/>
        <v>0</v>
      </c>
      <c r="MN8" s="498">
        <f t="shared" si="193"/>
        <v>0</v>
      </c>
      <c r="MO8" s="454"/>
      <c r="MP8" s="448">
        <f t="shared" si="194"/>
        <v>97</v>
      </c>
      <c r="MQ8" s="448">
        <f t="shared" si="195"/>
        <v>0</v>
      </c>
      <c r="MR8" s="448">
        <f t="shared" si="196"/>
        <v>0</v>
      </c>
      <c r="MS8" s="448">
        <f t="shared" si="197"/>
        <v>0</v>
      </c>
      <c r="MT8" s="448">
        <f t="shared" si="198"/>
        <v>0</v>
      </c>
      <c r="MU8" s="448">
        <f t="shared" si="199"/>
        <v>0</v>
      </c>
      <c r="MV8" s="448">
        <f t="shared" si="200"/>
        <v>0</v>
      </c>
      <c r="MW8" s="450">
        <f t="shared" si="201"/>
        <v>328000</v>
      </c>
      <c r="MX8" s="450">
        <f t="shared" si="202"/>
        <v>0</v>
      </c>
      <c r="MY8" s="450">
        <f t="shared" si="203"/>
        <v>0</v>
      </c>
      <c r="MZ8" s="450">
        <f t="shared" si="204"/>
        <v>0</v>
      </c>
      <c r="NA8" s="450">
        <f t="shared" si="205"/>
        <v>0</v>
      </c>
      <c r="NB8" s="450">
        <f t="shared" si="206"/>
        <v>0</v>
      </c>
      <c r="NC8" s="451">
        <f t="shared" si="207"/>
        <v>0</v>
      </c>
      <c r="ND8" s="449">
        <f t="shared" si="208"/>
        <v>0</v>
      </c>
      <c r="NE8" s="449">
        <f t="shared" si="209"/>
        <v>0</v>
      </c>
      <c r="NF8" s="449">
        <f t="shared" si="210"/>
        <v>0</v>
      </c>
      <c r="NG8" s="449">
        <f t="shared" si="211"/>
        <v>0</v>
      </c>
      <c r="NH8" s="449">
        <f t="shared" si="212"/>
        <v>0</v>
      </c>
      <c r="NI8" s="448">
        <f t="shared" si="213"/>
        <v>0</v>
      </c>
      <c r="NJ8" s="451">
        <f t="shared" si="214"/>
        <v>0</v>
      </c>
      <c r="NK8" s="449">
        <f t="shared" si="215"/>
        <v>0</v>
      </c>
      <c r="NL8" s="448">
        <f t="shared" si="216"/>
        <v>159.08000000000001</v>
      </c>
      <c r="NM8" s="452">
        <f t="shared" si="217"/>
        <v>0</v>
      </c>
      <c r="NN8" s="452">
        <f t="shared" si="218"/>
        <v>0</v>
      </c>
      <c r="NO8" s="453">
        <f t="shared" si="219"/>
        <v>2024</v>
      </c>
      <c r="NP8" s="423"/>
      <c r="NQ8" s="423"/>
      <c r="NR8" s="423"/>
      <c r="NS8" s="423"/>
      <c r="NT8" s="423"/>
      <c r="NU8" s="423"/>
      <c r="NV8" s="423"/>
      <c r="NW8" s="454">
        <f t="shared" si="220"/>
        <v>0</v>
      </c>
      <c r="NX8" s="454">
        <f t="shared" si="220"/>
        <v>0</v>
      </c>
      <c r="NY8" s="454">
        <f t="shared" si="220"/>
        <v>0</v>
      </c>
      <c r="NZ8" s="454">
        <f t="shared" si="220"/>
        <v>0</v>
      </c>
      <c r="OA8" s="454">
        <f t="shared" si="220"/>
        <v>0</v>
      </c>
      <c r="OB8" s="454">
        <f t="shared" si="220"/>
        <v>0</v>
      </c>
      <c r="OC8" s="454">
        <f t="shared" si="220"/>
        <v>0</v>
      </c>
      <c r="OD8" s="454">
        <f t="shared" si="220"/>
        <v>0</v>
      </c>
      <c r="OE8" s="454">
        <f t="shared" si="220"/>
        <v>0</v>
      </c>
      <c r="OF8" s="454">
        <f t="shared" si="220"/>
        <v>0</v>
      </c>
      <c r="OG8" s="454">
        <f t="shared" si="221"/>
        <v>0</v>
      </c>
      <c r="OH8" s="454">
        <f t="shared" si="221"/>
        <v>0</v>
      </c>
      <c r="OI8" s="454">
        <f t="shared" si="221"/>
        <v>0</v>
      </c>
      <c r="OJ8" s="454">
        <f t="shared" si="221"/>
        <v>0</v>
      </c>
      <c r="OK8" s="454">
        <f t="shared" si="221"/>
        <v>0</v>
      </c>
      <c r="OL8" s="454">
        <f t="shared" si="221"/>
        <v>0</v>
      </c>
      <c r="OM8" s="454">
        <f t="shared" si="221"/>
        <v>0</v>
      </c>
      <c r="ON8" s="454">
        <f t="shared" si="221"/>
        <v>0</v>
      </c>
      <c r="OO8" s="454">
        <f t="shared" si="221"/>
        <v>0</v>
      </c>
      <c r="OP8" s="454">
        <f t="shared" si="221"/>
        <v>0</v>
      </c>
      <c r="OQ8" s="454">
        <f t="shared" si="221"/>
        <v>0</v>
      </c>
      <c r="OR8" s="454">
        <f t="shared" si="221"/>
        <v>0</v>
      </c>
      <c r="OS8" s="454">
        <f t="shared" si="221"/>
        <v>0</v>
      </c>
      <c r="OT8" s="454">
        <f t="shared" si="221"/>
        <v>0</v>
      </c>
    </row>
    <row r="9" spans="1:410" s="11" customFormat="1" ht="30">
      <c r="A9" s="19" t="s">
        <v>414</v>
      </c>
      <c r="B9" s="19" t="s">
        <v>413</v>
      </c>
      <c r="C9" s="19" t="s">
        <v>395</v>
      </c>
      <c r="D9" s="19">
        <v>1</v>
      </c>
      <c r="E9" s="19" t="s">
        <v>293</v>
      </c>
      <c r="F9" s="19" t="s">
        <v>420</v>
      </c>
      <c r="G9" s="22" t="s">
        <v>53</v>
      </c>
      <c r="H9" s="20">
        <v>8696</v>
      </c>
      <c r="I9" s="442">
        <v>11969</v>
      </c>
      <c r="J9" s="20"/>
      <c r="K9" s="20"/>
      <c r="L9" s="20"/>
      <c r="M9" s="20"/>
      <c r="N9" s="20"/>
      <c r="O9" s="442">
        <f t="shared" si="3"/>
        <v>0</v>
      </c>
      <c r="P9" s="21"/>
      <c r="Q9" s="21" t="s">
        <v>396</v>
      </c>
      <c r="R9" s="27">
        <f t="shared" si="4"/>
        <v>7.9793333333333329</v>
      </c>
      <c r="S9" s="457" t="s">
        <v>27</v>
      </c>
      <c r="T9" s="27">
        <v>0</v>
      </c>
      <c r="U9" s="21"/>
      <c r="V9" s="19"/>
      <c r="W9" s="22"/>
      <c r="X9" s="19" t="s">
        <v>397</v>
      </c>
      <c r="Y9" s="19"/>
      <c r="Z9" s="19" t="s">
        <v>8</v>
      </c>
      <c r="AA9" s="219"/>
      <c r="AB9" s="219"/>
      <c r="AC9" s="224">
        <v>90</v>
      </c>
      <c r="AD9" s="224">
        <f t="shared" si="5"/>
        <v>1077210</v>
      </c>
      <c r="AE9" s="24"/>
      <c r="AF9" s="273"/>
      <c r="AG9" s="220">
        <f t="shared" si="6"/>
        <v>1077210</v>
      </c>
      <c r="AH9" s="220">
        <f t="shared" si="7"/>
        <v>1077210</v>
      </c>
      <c r="AI9" s="24" t="s">
        <v>252</v>
      </c>
      <c r="AJ9" s="228">
        <f>VLOOKUP($Q9,'Zoning Density'!$A$1:$E$28,3,)</f>
        <v>1500</v>
      </c>
      <c r="AK9" s="228">
        <f t="shared" si="8"/>
        <v>1500</v>
      </c>
      <c r="AL9" s="229">
        <f t="shared" si="9"/>
        <v>7.9793333333333329</v>
      </c>
      <c r="AM9" s="229">
        <f t="shared" si="10"/>
        <v>7.9793333333333329</v>
      </c>
      <c r="AN9" s="228">
        <v>3</v>
      </c>
      <c r="AO9" s="221">
        <f>VLOOKUP($AI9,Funding!$A$1:$G$6,3,FALSE)*$AG9</f>
        <v>0</v>
      </c>
      <c r="AP9" s="221">
        <f>VLOOKUP($AI9,Funding!$A$1:$G$6,4,FALSE)*$AG9</f>
        <v>1077210</v>
      </c>
      <c r="AQ9" s="351"/>
      <c r="AR9" s="274"/>
      <c r="AS9" s="222">
        <f t="shared" si="11"/>
        <v>7</v>
      </c>
      <c r="AT9" s="222"/>
      <c r="AU9" s="222">
        <f t="shared" si="12"/>
        <v>7</v>
      </c>
      <c r="AV9" s="221">
        <f>VLOOKUP($AN9,'Impact Fee'!$A$1:$E$20,5,FALSE)*AU9</f>
        <v>84000</v>
      </c>
      <c r="AW9" s="221">
        <f t="shared" si="13"/>
        <v>0</v>
      </c>
      <c r="AX9" s="221"/>
      <c r="AY9" s="321"/>
      <c r="AZ9" s="221">
        <f t="shared" si="14"/>
        <v>84000</v>
      </c>
      <c r="BA9" s="221">
        <f t="shared" si="15"/>
        <v>84000</v>
      </c>
      <c r="BB9" s="221">
        <f t="shared" si="16"/>
        <v>1161210</v>
      </c>
      <c r="BC9" s="271">
        <f t="shared" si="222"/>
        <v>0.67200000000000004</v>
      </c>
      <c r="BD9" s="271">
        <f t="shared" si="223"/>
        <v>9.2896800000000006</v>
      </c>
      <c r="BE9" s="271"/>
      <c r="BF9" s="221">
        <f t="shared" si="17"/>
        <v>2296000</v>
      </c>
      <c r="BG9" s="221">
        <f t="shared" si="18"/>
        <v>0</v>
      </c>
      <c r="BH9" s="221">
        <f t="shared" si="19"/>
        <v>0</v>
      </c>
      <c r="BI9" s="221">
        <f t="shared" si="20"/>
        <v>0</v>
      </c>
      <c r="BJ9" s="221">
        <f t="shared" si="21"/>
        <v>0</v>
      </c>
      <c r="BK9" s="221">
        <f t="shared" si="22"/>
        <v>0</v>
      </c>
      <c r="BL9" s="221">
        <f t="shared" si="23"/>
        <v>0</v>
      </c>
      <c r="BM9" s="221">
        <f t="shared" si="24"/>
        <v>0</v>
      </c>
      <c r="BN9" s="259"/>
      <c r="BO9" s="260"/>
      <c r="BP9" s="259">
        <f t="shared" si="25"/>
        <v>7</v>
      </c>
      <c r="BQ9" s="261">
        <v>1</v>
      </c>
      <c r="BR9" s="261">
        <f>IF(BQ9&gt;0.2,0.35,VLOOKUP(BQ9,'Density Bonus'!$A$1:$B$15,2,FALSE))</f>
        <v>0.35</v>
      </c>
      <c r="BS9" s="262">
        <f t="shared" si="26"/>
        <v>9.4500000000000011</v>
      </c>
      <c r="BT9" s="262">
        <f t="shared" si="27"/>
        <v>10</v>
      </c>
      <c r="BU9" s="349"/>
      <c r="BV9" s="263">
        <f t="shared" si="28"/>
        <v>10</v>
      </c>
      <c r="BW9" s="263">
        <f t="shared" si="29"/>
        <v>0</v>
      </c>
      <c r="BX9" s="264">
        <f t="shared" si="30"/>
        <v>0</v>
      </c>
      <c r="BY9" s="264">
        <f>IF(BQ9&lt;0.15,(VLOOKUP($AN9,'Impact Fee'!$A$1:$E$10,5,FALSE)*BW9),0)</f>
        <v>0</v>
      </c>
      <c r="BZ9" s="264">
        <f t="shared" si="31"/>
        <v>0</v>
      </c>
      <c r="CA9" s="264">
        <f t="shared" si="32"/>
        <v>0</v>
      </c>
      <c r="CB9" s="264">
        <f t="shared" si="33"/>
        <v>0</v>
      </c>
      <c r="CC9" s="264">
        <f t="shared" si="34"/>
        <v>0</v>
      </c>
      <c r="CD9" s="264">
        <f t="shared" si="35"/>
        <v>0</v>
      </c>
      <c r="CE9" s="264">
        <f>CD9*IF(F9="Commercial",CE$3,VLOOKUP($AI9,Funding!$A$1:$G$6,5,FALSE))</f>
        <v>0</v>
      </c>
      <c r="CF9" s="264">
        <f t="shared" si="36"/>
        <v>0</v>
      </c>
      <c r="CG9" s="264">
        <f t="shared" si="37"/>
        <v>-1017520</v>
      </c>
      <c r="CH9" s="264">
        <f t="shared" si="38"/>
        <v>-1017520</v>
      </c>
      <c r="CI9" s="264"/>
      <c r="CJ9" s="264">
        <f t="shared" si="39"/>
        <v>3280000</v>
      </c>
      <c r="CK9" s="264">
        <f t="shared" si="40"/>
        <v>0</v>
      </c>
      <c r="CL9" s="264">
        <f t="shared" si="41"/>
        <v>0</v>
      </c>
      <c r="CM9" s="264">
        <f t="shared" si="42"/>
        <v>0</v>
      </c>
      <c r="CN9" s="264">
        <f t="shared" si="43"/>
        <v>0</v>
      </c>
      <c r="CO9" s="264">
        <f t="shared" si="44"/>
        <v>0</v>
      </c>
      <c r="CP9" s="264">
        <f t="shared" si="45"/>
        <v>0</v>
      </c>
      <c r="CQ9" s="264">
        <f t="shared" si="46"/>
        <v>0</v>
      </c>
      <c r="CR9" s="264">
        <f t="shared" si="47"/>
        <v>0</v>
      </c>
      <c r="CS9" s="520"/>
      <c r="CT9" s="521"/>
      <c r="CU9" s="520">
        <f t="shared" si="48"/>
        <v>7</v>
      </c>
      <c r="CV9" s="522">
        <v>0.15</v>
      </c>
      <c r="CW9" s="522">
        <f>IF(CV9&gt;0.2,0.35,VLOOKUP(CV9,'Density Bonus'!$A$1:$B$15,2,FALSE))</f>
        <v>0.27500000000000002</v>
      </c>
      <c r="CX9" s="523">
        <f t="shared" si="49"/>
        <v>8.9249999999999989</v>
      </c>
      <c r="CY9" s="523">
        <f t="shared" si="50"/>
        <v>9</v>
      </c>
      <c r="CZ9" s="347"/>
      <c r="DA9" s="524">
        <f t="shared" si="51"/>
        <v>1</v>
      </c>
      <c r="DB9" s="524">
        <f t="shared" si="52"/>
        <v>8</v>
      </c>
      <c r="DC9" s="525">
        <f t="shared" si="53"/>
        <v>0</v>
      </c>
      <c r="DD9" s="525">
        <f>IF(CV9&lt;0.4,VLOOKUP($AN9,'Impact Fee'!$A$1:$E$10,5,FALSE)*DB9,0)</f>
        <v>96000</v>
      </c>
      <c r="DE9" s="525">
        <f t="shared" si="54"/>
        <v>96000</v>
      </c>
      <c r="DF9" s="525">
        <f t="shared" si="55"/>
        <v>1173210</v>
      </c>
      <c r="DG9" s="525">
        <f t="shared" si="56"/>
        <v>224566.39999999997</v>
      </c>
      <c r="DH9" s="525">
        <f t="shared" si="57"/>
        <v>228942</v>
      </c>
      <c r="DI9" s="525">
        <f t="shared" si="58"/>
        <v>948643.60000000009</v>
      </c>
      <c r="DJ9" s="525">
        <f t="shared" si="59"/>
        <v>228942</v>
      </c>
      <c r="DK9" s="525">
        <f t="shared" si="60"/>
        <v>719701.60000000009</v>
      </c>
      <c r="DL9" s="525">
        <f t="shared" si="61"/>
        <v>0</v>
      </c>
      <c r="DM9" s="525">
        <f t="shared" si="62"/>
        <v>0</v>
      </c>
      <c r="DN9" s="525">
        <f t="shared" si="63"/>
        <v>719701.60000000009</v>
      </c>
      <c r="DO9" s="525">
        <f>VLOOKUP($AI9,Funding!$A$1:$G$6,6,FALSE)*DN9</f>
        <v>719701.60000000009</v>
      </c>
      <c r="DP9" s="525">
        <f t="shared" si="64"/>
        <v>948643.60000000009</v>
      </c>
      <c r="DQ9" s="525">
        <f t="shared" si="65"/>
        <v>0</v>
      </c>
      <c r="DR9" s="525">
        <f t="shared" si="66"/>
        <v>948643.60000000009</v>
      </c>
      <c r="DS9" s="525"/>
      <c r="DT9" s="525">
        <f t="shared" si="67"/>
        <v>2952000</v>
      </c>
      <c r="DU9" s="525">
        <f t="shared" si="68"/>
        <v>0</v>
      </c>
      <c r="DV9" s="525">
        <f t="shared" si="69"/>
        <v>0</v>
      </c>
      <c r="DW9" s="525">
        <f t="shared" si="70"/>
        <v>0</v>
      </c>
      <c r="DX9" s="525">
        <f t="shared" si="71"/>
        <v>0</v>
      </c>
      <c r="DY9" s="525">
        <f t="shared" si="72"/>
        <v>0</v>
      </c>
      <c r="DZ9" s="525">
        <f t="shared" si="73"/>
        <v>0</v>
      </c>
      <c r="EA9" s="819"/>
      <c r="EB9" s="820"/>
      <c r="EC9" s="819">
        <f t="shared" si="74"/>
        <v>7</v>
      </c>
      <c r="ED9" s="821">
        <v>0.15</v>
      </c>
      <c r="EE9" s="821">
        <f>IF(ED9&gt;0.2,0.35,VLOOKUP(ED9,'Density Bonus'!$A$1:$B$15,2,FALSE))</f>
        <v>0.27500000000000002</v>
      </c>
      <c r="EF9" s="822">
        <f t="shared" si="75"/>
        <v>8.9249999999999989</v>
      </c>
      <c r="EG9" s="822">
        <f t="shared" si="76"/>
        <v>9</v>
      </c>
      <c r="EH9" s="823"/>
      <c r="EI9" s="824">
        <f t="shared" si="77"/>
        <v>1</v>
      </c>
      <c r="EJ9" s="824">
        <f t="shared" si="78"/>
        <v>8</v>
      </c>
      <c r="EK9" s="825">
        <f t="shared" si="79"/>
        <v>0</v>
      </c>
      <c r="EL9" s="825">
        <f>IF(ED9&lt;0.4,VLOOKUP($AN9,'Impact Fee'!$A$1:$E$10,5,FALSE)*EJ9,0)</f>
        <v>96000</v>
      </c>
      <c r="EM9" s="825">
        <f t="shared" si="80"/>
        <v>96000</v>
      </c>
      <c r="EN9" s="825">
        <f t="shared" si="81"/>
        <v>1173210</v>
      </c>
      <c r="EO9" s="825">
        <f t="shared" si="82"/>
        <v>224566.39999999997</v>
      </c>
      <c r="EP9" s="825">
        <f t="shared" si="83"/>
        <v>228942</v>
      </c>
      <c r="EQ9" s="825">
        <f t="shared" si="84"/>
        <v>948643.60000000009</v>
      </c>
      <c r="ER9" s="825">
        <f t="shared" si="85"/>
        <v>228942</v>
      </c>
      <c r="ES9" s="825">
        <f t="shared" si="86"/>
        <v>719701.60000000009</v>
      </c>
      <c r="ET9" s="825">
        <f t="shared" si="87"/>
        <v>0</v>
      </c>
      <c r="EU9" s="825">
        <f t="shared" si="88"/>
        <v>0</v>
      </c>
      <c r="EV9" s="825">
        <f t="shared" si="89"/>
        <v>719701.60000000009</v>
      </c>
      <c r="EW9" s="825">
        <f>VLOOKUP($AI9,Funding!$A$1:$G$6,6,FALSE)*EV9</f>
        <v>719701.60000000009</v>
      </c>
      <c r="EX9" s="825">
        <f t="shared" si="90"/>
        <v>948643.60000000009</v>
      </c>
      <c r="EY9" s="825">
        <f t="shared" si="91"/>
        <v>0</v>
      </c>
      <c r="EZ9" s="825">
        <f t="shared" si="92"/>
        <v>948643.60000000009</v>
      </c>
      <c r="FA9" s="825"/>
      <c r="FB9" s="825">
        <f t="shared" si="93"/>
        <v>2952000</v>
      </c>
      <c r="FC9" s="825">
        <f t="shared" si="94"/>
        <v>0</v>
      </c>
      <c r="FD9" s="825">
        <f t="shared" si="95"/>
        <v>0</v>
      </c>
      <c r="FE9" s="825">
        <f t="shared" si="96"/>
        <v>0</v>
      </c>
      <c r="FF9" s="825">
        <f t="shared" si="97"/>
        <v>0</v>
      </c>
      <c r="FG9" s="825">
        <f t="shared" si="98"/>
        <v>0</v>
      </c>
      <c r="FH9" s="825">
        <f t="shared" si="99"/>
        <v>0</v>
      </c>
      <c r="FI9" s="545"/>
      <c r="FJ9" s="546"/>
      <c r="FK9" s="546"/>
      <c r="FL9" s="545">
        <f t="shared" si="100"/>
        <v>7</v>
      </c>
      <c r="FM9" s="547">
        <v>0</v>
      </c>
      <c r="FN9" s="547">
        <f>IF(FM9&gt;0.2,0.35,VLOOKUP(FM9,'Density Bonus'!$A$1:$B$15,2,FALSE))</f>
        <v>0</v>
      </c>
      <c r="FO9" s="548">
        <f t="shared" si="101"/>
        <v>7</v>
      </c>
      <c r="FP9" s="548">
        <f t="shared" si="102"/>
        <v>7</v>
      </c>
      <c r="FQ9" s="347"/>
      <c r="FR9" s="549">
        <f t="shared" si="103"/>
        <v>0</v>
      </c>
      <c r="FS9" s="549">
        <f t="shared" si="104"/>
        <v>7</v>
      </c>
      <c r="FT9" s="550">
        <f t="shared" si="105"/>
        <v>0</v>
      </c>
      <c r="FU9" s="550">
        <f>IF(FM9&lt;0.15,(VLOOKUP($AN9,'Impact Fee'!$A$1:$E$10,5,FALSE)*FS9),0)</f>
        <v>84000</v>
      </c>
      <c r="FV9" s="550">
        <f t="shared" si="106"/>
        <v>84000</v>
      </c>
      <c r="FW9" s="550">
        <f t="shared" si="107"/>
        <v>1077210</v>
      </c>
      <c r="FX9" s="550">
        <f t="shared" si="108"/>
        <v>0</v>
      </c>
      <c r="FY9" s="550">
        <f t="shared" si="109"/>
        <v>0</v>
      </c>
      <c r="FZ9" s="550">
        <f t="shared" si="110"/>
        <v>1077210</v>
      </c>
      <c r="GA9" s="550">
        <f>VLOOKUP($AI9,Funding!$A$1:$G$6,3,FALSE)*FZ9</f>
        <v>0</v>
      </c>
      <c r="GB9" s="550">
        <f t="shared" si="111"/>
        <v>84000</v>
      </c>
      <c r="GC9" s="550">
        <f t="shared" si="112"/>
        <v>0</v>
      </c>
      <c r="GD9" s="550">
        <f t="shared" si="113"/>
        <v>84000</v>
      </c>
      <c r="GE9" s="550"/>
      <c r="GF9" s="550">
        <f t="shared" si="114"/>
        <v>2296000</v>
      </c>
      <c r="GG9" s="550">
        <f t="shared" si="115"/>
        <v>0</v>
      </c>
      <c r="GH9" s="550">
        <f t="shared" si="116"/>
        <v>0</v>
      </c>
      <c r="GI9" s="550">
        <f t="shared" si="117"/>
        <v>0</v>
      </c>
      <c r="GJ9" s="550">
        <f t="shared" si="118"/>
        <v>0</v>
      </c>
      <c r="GK9" s="550">
        <f t="shared" si="119"/>
        <v>0</v>
      </c>
      <c r="GL9" s="550">
        <f t="shared" si="120"/>
        <v>0</v>
      </c>
      <c r="GM9" s="550">
        <f t="shared" si="121"/>
        <v>0</v>
      </c>
      <c r="GN9" s="550">
        <f t="shared" si="122"/>
        <v>0</v>
      </c>
      <c r="GO9" s="199"/>
      <c r="GP9" s="275"/>
      <c r="GQ9" s="199">
        <f t="shared" si="123"/>
        <v>7</v>
      </c>
      <c r="GR9" s="34">
        <v>1</v>
      </c>
      <c r="GS9" s="34">
        <f>IF(GR9&gt;0.2,0.35,VLOOKUP(GR9,'Density Bonus'!$A$1:$B$15,2,FALSE))</f>
        <v>0.35</v>
      </c>
      <c r="GT9" s="235">
        <f t="shared" si="124"/>
        <v>9.4500000000000011</v>
      </c>
      <c r="GU9" s="235">
        <f t="shared" si="125"/>
        <v>10</v>
      </c>
      <c r="GV9" s="347"/>
      <c r="GW9" s="31">
        <f t="shared" si="126"/>
        <v>10</v>
      </c>
      <c r="GX9" s="31">
        <f t="shared" si="127"/>
        <v>0</v>
      </c>
      <c r="GY9" s="196" t="str">
        <f t="shared" si="128"/>
        <v/>
      </c>
      <c r="GZ9" s="238">
        <f t="shared" si="129"/>
        <v>0</v>
      </c>
      <c r="HA9" s="238">
        <f t="shared" si="130"/>
        <v>0</v>
      </c>
      <c r="HB9" s="238">
        <f t="shared" si="131"/>
        <v>0</v>
      </c>
      <c r="HC9" s="238">
        <f t="shared" si="224"/>
        <v>0</v>
      </c>
      <c r="HD9" s="238">
        <f>VLOOKUP($AI9,Funding!$A$1:$G$6,7,FALSE)*HC9</f>
        <v>0</v>
      </c>
      <c r="HE9" s="238">
        <f t="shared" si="225"/>
        <v>0</v>
      </c>
      <c r="HF9" s="238">
        <f t="shared" si="226"/>
        <v>-1017520</v>
      </c>
      <c r="HG9" s="238">
        <f t="shared" si="132"/>
        <v>-1017520</v>
      </c>
      <c r="HH9" s="238"/>
      <c r="HI9" s="238">
        <f t="shared" si="133"/>
        <v>3280000</v>
      </c>
      <c r="HJ9" s="238">
        <f t="shared" si="134"/>
        <v>0</v>
      </c>
      <c r="HK9" s="238">
        <f t="shared" si="135"/>
        <v>0</v>
      </c>
      <c r="HL9" s="238">
        <f t="shared" si="136"/>
        <v>0</v>
      </c>
      <c r="HM9" s="238">
        <f t="shared" si="137"/>
        <v>0</v>
      </c>
      <c r="HN9" s="238">
        <f t="shared" si="138"/>
        <v>0</v>
      </c>
      <c r="HO9" s="238">
        <f t="shared" si="139"/>
        <v>0</v>
      </c>
      <c r="HP9" s="397"/>
      <c r="HQ9" s="424"/>
      <c r="HR9" s="426">
        <f t="shared" si="140"/>
        <v>1077210</v>
      </c>
      <c r="HS9" s="425">
        <f t="shared" si="141"/>
        <v>0</v>
      </c>
      <c r="HT9" s="425">
        <f t="shared" si="142"/>
        <v>7</v>
      </c>
      <c r="HU9" s="429">
        <f t="shared" si="143"/>
        <v>0</v>
      </c>
      <c r="HV9" s="429">
        <f t="shared" si="143"/>
        <v>0</v>
      </c>
      <c r="HW9" s="429">
        <f t="shared" si="143"/>
        <v>0</v>
      </c>
      <c r="HX9" s="429">
        <f t="shared" si="143"/>
        <v>0</v>
      </c>
      <c r="HY9" s="429">
        <f t="shared" si="143"/>
        <v>0</v>
      </c>
      <c r="HZ9" s="426">
        <f t="shared" si="144"/>
        <v>328000</v>
      </c>
      <c r="IA9" s="426"/>
      <c r="IB9" s="426"/>
      <c r="IC9" s="425"/>
      <c r="ID9" s="425"/>
      <c r="IE9" s="425"/>
      <c r="IF9" s="427">
        <f>((HR9+(HT9*HZ9)+(HU9*IA9)+(HV9*IB9)+(HW9*IC9)+(HX9*ID9))*0.01*0.29)</f>
        <v>9782.3089999999993</v>
      </c>
      <c r="IG9" s="428">
        <f t="shared" si="145"/>
        <v>5609.6482300000007</v>
      </c>
      <c r="IH9" s="428">
        <f t="shared" si="146"/>
        <v>0</v>
      </c>
      <c r="II9" s="428">
        <f t="shared" si="147"/>
        <v>2959.0879500000001</v>
      </c>
      <c r="IJ9" s="428">
        <f t="shared" si="148"/>
        <v>0</v>
      </c>
      <c r="IK9" s="428">
        <f t="shared" si="149"/>
        <v>18351.045180000001</v>
      </c>
      <c r="IL9" s="429">
        <f t="shared" si="150"/>
        <v>0</v>
      </c>
      <c r="IM9" s="427">
        <f>Sites!AG9</f>
        <v>1077210</v>
      </c>
      <c r="IN9" s="428">
        <f t="shared" si="151"/>
        <v>16158.15</v>
      </c>
      <c r="IO9" s="429">
        <f t="shared" si="152"/>
        <v>11.48</v>
      </c>
      <c r="IP9" s="426">
        <f t="shared" si="153"/>
        <v>641280.1623945277</v>
      </c>
      <c r="IQ9" s="426">
        <f t="shared" si="154"/>
        <v>352222.41552698339</v>
      </c>
      <c r="IR9" s="430">
        <v>2024</v>
      </c>
      <c r="IS9" s="431"/>
      <c r="IT9" s="431"/>
      <c r="IU9" s="431"/>
      <c r="IV9" s="431"/>
      <c r="IW9" s="428"/>
      <c r="IX9" s="428"/>
      <c r="IY9" s="428"/>
      <c r="IZ9" s="428">
        <f t="shared" si="155"/>
        <v>21079.582584650401</v>
      </c>
      <c r="JA9" s="428">
        <f t="shared" si="155"/>
        <v>21501.17423634341</v>
      </c>
      <c r="JB9" s="428">
        <f t="shared" si="155"/>
        <v>21931.197721070279</v>
      </c>
      <c r="JC9" s="428">
        <f t="shared" si="155"/>
        <v>22369.821675491683</v>
      </c>
      <c r="JD9" s="428">
        <f t="shared" si="155"/>
        <v>22817.218109001515</v>
      </c>
      <c r="JE9" s="428">
        <f t="shared" si="155"/>
        <v>23273.562471181547</v>
      </c>
      <c r="JF9" s="428">
        <f t="shared" si="155"/>
        <v>23739.033720605177</v>
      </c>
      <c r="JG9" s="428">
        <f t="shared" si="155"/>
        <v>24213.814395017282</v>
      </c>
      <c r="JH9" s="428">
        <f t="shared" si="155"/>
        <v>24698.090682917624</v>
      </c>
      <c r="JI9" s="428">
        <f t="shared" si="155"/>
        <v>25192.05249657598</v>
      </c>
      <c r="JJ9" s="428">
        <f t="shared" si="156"/>
        <v>25695.893546507501</v>
      </c>
      <c r="JK9" s="428">
        <f t="shared" si="156"/>
        <v>26209.811417437646</v>
      </c>
      <c r="JL9" s="428">
        <f t="shared" si="156"/>
        <v>26734.007645786398</v>
      </c>
      <c r="JM9" s="428">
        <f t="shared" si="156"/>
        <v>27268.687798702129</v>
      </c>
      <c r="JN9" s="428">
        <f t="shared" si="156"/>
        <v>27814.061554676169</v>
      </c>
      <c r="JO9" s="428">
        <f t="shared" si="156"/>
        <v>28370.342785769695</v>
      </c>
      <c r="JP9" s="428">
        <f t="shared" si="156"/>
        <v>28937.749641485083</v>
      </c>
      <c r="JQ9" s="428">
        <f t="shared" si="156"/>
        <v>29516.504634314788</v>
      </c>
      <c r="JR9" s="428">
        <f t="shared" si="156"/>
        <v>30106.834727001082</v>
      </c>
      <c r="JS9" s="428">
        <f t="shared" si="156"/>
        <v>30708.971421541108</v>
      </c>
      <c r="JT9" s="428">
        <f t="shared" si="156"/>
        <v>31323.150849971924</v>
      </c>
      <c r="JU9" s="428">
        <f t="shared" si="156"/>
        <v>31949.613866971369</v>
      </c>
      <c r="JV9" s="428">
        <f t="shared" si="156"/>
        <v>32588.606144310794</v>
      </c>
      <c r="JW9" s="428">
        <f t="shared" si="156"/>
        <v>33240.378267197011</v>
      </c>
      <c r="JX9" s="432"/>
      <c r="JY9" s="435">
        <f t="shared" si="157"/>
        <v>10</v>
      </c>
      <c r="JZ9" s="435">
        <f t="shared" si="158"/>
        <v>0</v>
      </c>
      <c r="KA9" s="435">
        <f t="shared" si="159"/>
        <v>0</v>
      </c>
      <c r="KB9" s="435">
        <f t="shared" si="160"/>
        <v>0</v>
      </c>
      <c r="KC9" s="435">
        <f t="shared" si="161"/>
        <v>0</v>
      </c>
      <c r="KD9" s="435">
        <f t="shared" si="162"/>
        <v>0</v>
      </c>
      <c r="KE9" s="435">
        <f t="shared" si="163"/>
        <v>0</v>
      </c>
      <c r="KF9" s="432">
        <f t="shared" si="164"/>
        <v>328000</v>
      </c>
      <c r="KG9" s="445">
        <f t="shared" si="165"/>
        <v>0</v>
      </c>
      <c r="KH9" s="445">
        <f t="shared" si="166"/>
        <v>0</v>
      </c>
      <c r="KI9" s="445">
        <f t="shared" si="167"/>
        <v>0</v>
      </c>
      <c r="KJ9" s="445">
        <f t="shared" si="168"/>
        <v>0</v>
      </c>
      <c r="KK9" s="445">
        <f t="shared" si="169"/>
        <v>0</v>
      </c>
      <c r="KL9" s="434">
        <v>0</v>
      </c>
      <c r="KM9" s="432">
        <f t="shared" si="170"/>
        <v>0</v>
      </c>
      <c r="KN9" s="432">
        <f t="shared" si="171"/>
        <v>0</v>
      </c>
      <c r="KO9" s="432">
        <f t="shared" si="172"/>
        <v>0</v>
      </c>
      <c r="KP9" s="432">
        <f t="shared" si="173"/>
        <v>0</v>
      </c>
      <c r="KQ9" s="432">
        <f t="shared" si="174"/>
        <v>0</v>
      </c>
      <c r="KR9" s="435">
        <f t="shared" si="175"/>
        <v>0</v>
      </c>
      <c r="KS9" s="434">
        <f t="shared" si="176"/>
        <v>0</v>
      </c>
      <c r="KT9" s="432">
        <f t="shared" si="177"/>
        <v>0</v>
      </c>
      <c r="KU9" s="435">
        <f t="shared" si="178"/>
        <v>16.399999999999999</v>
      </c>
      <c r="KV9" s="433">
        <f t="shared" si="179"/>
        <v>0</v>
      </c>
      <c r="KW9" s="433">
        <f t="shared" si="180"/>
        <v>0</v>
      </c>
      <c r="KX9" s="436">
        <f t="shared" si="181"/>
        <v>2024</v>
      </c>
      <c r="KY9" s="411"/>
      <c r="KZ9" s="411"/>
      <c r="LA9" s="411"/>
      <c r="LB9" s="411"/>
      <c r="LC9" s="411"/>
      <c r="LD9" s="411"/>
      <c r="LE9" s="411"/>
      <c r="LF9" s="446">
        <f t="shared" si="182"/>
        <v>0</v>
      </c>
      <c r="LG9" s="446">
        <f t="shared" si="182"/>
        <v>0</v>
      </c>
      <c r="LH9" s="446">
        <f t="shared" si="182"/>
        <v>0</v>
      </c>
      <c r="LI9" s="446">
        <f t="shared" si="182"/>
        <v>0</v>
      </c>
      <c r="LJ9" s="446">
        <f t="shared" si="182"/>
        <v>0</v>
      </c>
      <c r="LK9" s="446">
        <f t="shared" si="182"/>
        <v>0</v>
      </c>
      <c r="LL9" s="446">
        <f t="shared" si="182"/>
        <v>0</v>
      </c>
      <c r="LM9" s="446">
        <f t="shared" si="182"/>
        <v>0</v>
      </c>
      <c r="LN9" s="446">
        <f t="shared" si="182"/>
        <v>0</v>
      </c>
      <c r="LO9" s="446">
        <f t="shared" si="182"/>
        <v>0</v>
      </c>
      <c r="LP9" s="446">
        <f t="shared" si="183"/>
        <v>0</v>
      </c>
      <c r="LQ9" s="446">
        <f t="shared" si="183"/>
        <v>0</v>
      </c>
      <c r="LR9" s="446">
        <f t="shared" si="183"/>
        <v>0</v>
      </c>
      <c r="LS9" s="446">
        <f t="shared" si="183"/>
        <v>0</v>
      </c>
      <c r="LT9" s="446">
        <f t="shared" si="183"/>
        <v>0</v>
      </c>
      <c r="LU9" s="446">
        <f t="shared" si="183"/>
        <v>0</v>
      </c>
      <c r="LV9" s="446">
        <f t="shared" si="183"/>
        <v>0</v>
      </c>
      <c r="LW9" s="446">
        <f t="shared" si="183"/>
        <v>0</v>
      </c>
      <c r="LX9" s="446">
        <f t="shared" si="183"/>
        <v>0</v>
      </c>
      <c r="LY9" s="446">
        <f t="shared" si="183"/>
        <v>0</v>
      </c>
      <c r="LZ9" s="446">
        <f t="shared" si="183"/>
        <v>0</v>
      </c>
      <c r="MA9" s="446">
        <f t="shared" si="183"/>
        <v>0</v>
      </c>
      <c r="MB9" s="446">
        <f t="shared" si="183"/>
        <v>0</v>
      </c>
      <c r="MC9" s="446">
        <f t="shared" si="183"/>
        <v>0</v>
      </c>
      <c r="MD9" s="496"/>
      <c r="ME9" s="497">
        <f t="shared" si="184"/>
        <v>0</v>
      </c>
      <c r="MF9" s="497">
        <f t="shared" si="185"/>
        <v>0</v>
      </c>
      <c r="MG9" s="497">
        <f t="shared" si="186"/>
        <v>0</v>
      </c>
      <c r="MH9" s="497">
        <f t="shared" si="187"/>
        <v>0</v>
      </c>
      <c r="MI9" s="497">
        <f t="shared" si="188"/>
        <v>0</v>
      </c>
      <c r="MJ9" s="498">
        <f t="shared" si="189"/>
        <v>0</v>
      </c>
      <c r="MK9" s="498">
        <f t="shared" si="190"/>
        <v>0</v>
      </c>
      <c r="ML9" s="498">
        <f t="shared" si="191"/>
        <v>0</v>
      </c>
      <c r="MM9" s="498">
        <f t="shared" si="192"/>
        <v>0</v>
      </c>
      <c r="MN9" s="498">
        <f t="shared" si="193"/>
        <v>0</v>
      </c>
      <c r="MO9" s="454"/>
      <c r="MP9" s="448">
        <f t="shared" si="194"/>
        <v>10</v>
      </c>
      <c r="MQ9" s="448">
        <f t="shared" si="195"/>
        <v>0</v>
      </c>
      <c r="MR9" s="448">
        <f t="shared" si="196"/>
        <v>0</v>
      </c>
      <c r="MS9" s="448">
        <f t="shared" si="197"/>
        <v>0</v>
      </c>
      <c r="MT9" s="448">
        <f t="shared" si="198"/>
        <v>0</v>
      </c>
      <c r="MU9" s="448">
        <f t="shared" si="199"/>
        <v>0</v>
      </c>
      <c r="MV9" s="448">
        <f t="shared" si="200"/>
        <v>0</v>
      </c>
      <c r="MW9" s="450">
        <f t="shared" si="201"/>
        <v>328000</v>
      </c>
      <c r="MX9" s="450">
        <f t="shared" si="202"/>
        <v>0</v>
      </c>
      <c r="MY9" s="450">
        <f t="shared" si="203"/>
        <v>0</v>
      </c>
      <c r="MZ9" s="450">
        <f t="shared" si="204"/>
        <v>0</v>
      </c>
      <c r="NA9" s="450">
        <f t="shared" si="205"/>
        <v>0</v>
      </c>
      <c r="NB9" s="450">
        <f t="shared" si="206"/>
        <v>0</v>
      </c>
      <c r="NC9" s="451">
        <f t="shared" si="207"/>
        <v>0</v>
      </c>
      <c r="ND9" s="449">
        <f t="shared" si="208"/>
        <v>0</v>
      </c>
      <c r="NE9" s="449">
        <f t="shared" si="209"/>
        <v>0</v>
      </c>
      <c r="NF9" s="449">
        <f t="shared" si="210"/>
        <v>0</v>
      </c>
      <c r="NG9" s="449">
        <f t="shared" si="211"/>
        <v>0</v>
      </c>
      <c r="NH9" s="449">
        <f t="shared" si="212"/>
        <v>0</v>
      </c>
      <c r="NI9" s="448">
        <f t="shared" si="213"/>
        <v>0</v>
      </c>
      <c r="NJ9" s="451">
        <f t="shared" si="214"/>
        <v>0</v>
      </c>
      <c r="NK9" s="449">
        <f t="shared" si="215"/>
        <v>0</v>
      </c>
      <c r="NL9" s="448">
        <f t="shared" si="216"/>
        <v>16.399999999999999</v>
      </c>
      <c r="NM9" s="452">
        <f t="shared" si="217"/>
        <v>0</v>
      </c>
      <c r="NN9" s="452">
        <f t="shared" si="218"/>
        <v>0</v>
      </c>
      <c r="NO9" s="453">
        <f t="shared" si="219"/>
        <v>2024</v>
      </c>
      <c r="NP9" s="423"/>
      <c r="NQ9" s="423"/>
      <c r="NR9" s="423"/>
      <c r="NS9" s="423"/>
      <c r="NT9" s="423"/>
      <c r="NU9" s="423"/>
      <c r="NV9" s="423"/>
      <c r="NW9" s="454">
        <f t="shared" si="220"/>
        <v>0</v>
      </c>
      <c r="NX9" s="454">
        <f t="shared" si="220"/>
        <v>0</v>
      </c>
      <c r="NY9" s="454">
        <f t="shared" si="220"/>
        <v>0</v>
      </c>
      <c r="NZ9" s="454">
        <f t="shared" si="220"/>
        <v>0</v>
      </c>
      <c r="OA9" s="454">
        <f t="shared" si="220"/>
        <v>0</v>
      </c>
      <c r="OB9" s="454">
        <f t="shared" si="220"/>
        <v>0</v>
      </c>
      <c r="OC9" s="454">
        <f t="shared" si="220"/>
        <v>0</v>
      </c>
      <c r="OD9" s="454">
        <f t="shared" si="220"/>
        <v>0</v>
      </c>
      <c r="OE9" s="454">
        <f t="shared" si="220"/>
        <v>0</v>
      </c>
      <c r="OF9" s="454">
        <f t="shared" si="220"/>
        <v>0</v>
      </c>
      <c r="OG9" s="454">
        <f t="shared" si="221"/>
        <v>0</v>
      </c>
      <c r="OH9" s="454">
        <f t="shared" si="221"/>
        <v>0</v>
      </c>
      <c r="OI9" s="454">
        <f t="shared" si="221"/>
        <v>0</v>
      </c>
      <c r="OJ9" s="454">
        <f t="shared" si="221"/>
        <v>0</v>
      </c>
      <c r="OK9" s="454">
        <f t="shared" si="221"/>
        <v>0</v>
      </c>
      <c r="OL9" s="454">
        <f t="shared" si="221"/>
        <v>0</v>
      </c>
      <c r="OM9" s="454">
        <f t="shared" si="221"/>
        <v>0</v>
      </c>
      <c r="ON9" s="454">
        <f t="shared" si="221"/>
        <v>0</v>
      </c>
      <c r="OO9" s="454">
        <f t="shared" si="221"/>
        <v>0</v>
      </c>
      <c r="OP9" s="454">
        <f t="shared" si="221"/>
        <v>0</v>
      </c>
      <c r="OQ9" s="454">
        <f t="shared" si="221"/>
        <v>0</v>
      </c>
      <c r="OR9" s="454">
        <f t="shared" si="221"/>
        <v>0</v>
      </c>
      <c r="OS9" s="454">
        <f t="shared" si="221"/>
        <v>0</v>
      </c>
      <c r="OT9" s="454">
        <f t="shared" si="221"/>
        <v>0</v>
      </c>
    </row>
    <row r="10" spans="1:410" s="11" customFormat="1" ht="30">
      <c r="A10" s="19" t="s">
        <v>13</v>
      </c>
      <c r="B10" s="19" t="s">
        <v>73</v>
      </c>
      <c r="C10" s="19" t="s">
        <v>432</v>
      </c>
      <c r="D10" s="19">
        <v>2</v>
      </c>
      <c r="E10" s="19" t="s">
        <v>293</v>
      </c>
      <c r="F10" s="19" t="s">
        <v>420</v>
      </c>
      <c r="G10" s="23">
        <v>10</v>
      </c>
      <c r="H10" s="23"/>
      <c r="I10" s="442">
        <v>22581</v>
      </c>
      <c r="J10" s="20"/>
      <c r="K10" s="20"/>
      <c r="L10" s="20"/>
      <c r="M10" s="20"/>
      <c r="N10" s="20"/>
      <c r="O10" s="442">
        <f t="shared" si="3"/>
        <v>0</v>
      </c>
      <c r="P10" s="21"/>
      <c r="Q10" s="21" t="s">
        <v>42</v>
      </c>
      <c r="R10" s="27">
        <f t="shared" si="4"/>
        <v>50.18</v>
      </c>
      <c r="S10" s="457">
        <v>2.5</v>
      </c>
      <c r="T10" s="27">
        <f>I10*S10</f>
        <v>56452.5</v>
      </c>
      <c r="U10" s="21">
        <v>45</v>
      </c>
      <c r="V10" s="19" t="s">
        <v>30</v>
      </c>
      <c r="W10" s="22" t="s">
        <v>101</v>
      </c>
      <c r="X10" s="19" t="s">
        <v>37</v>
      </c>
      <c r="Y10" s="19"/>
      <c r="Z10" s="19" t="s">
        <v>8</v>
      </c>
      <c r="AA10" s="219" t="s">
        <v>84</v>
      </c>
      <c r="AB10" s="219" t="s">
        <v>78</v>
      </c>
      <c r="AC10" s="224">
        <v>45</v>
      </c>
      <c r="AD10" s="224">
        <f t="shared" si="5"/>
        <v>1016145</v>
      </c>
      <c r="AE10" s="24"/>
      <c r="AF10" s="273"/>
      <c r="AG10" s="220">
        <f t="shared" si="6"/>
        <v>1016145</v>
      </c>
      <c r="AH10" s="220">
        <f t="shared" si="7"/>
        <v>1016145</v>
      </c>
      <c r="AI10" s="24" t="s">
        <v>248</v>
      </c>
      <c r="AJ10" s="228">
        <f>VLOOKUP($Q10,'Zoning Density'!$A$1:$E$28,3,)</f>
        <v>450</v>
      </c>
      <c r="AK10" s="228">
        <f t="shared" si="8"/>
        <v>450</v>
      </c>
      <c r="AL10" s="229">
        <f t="shared" si="9"/>
        <v>50.18</v>
      </c>
      <c r="AM10" s="229">
        <f t="shared" si="10"/>
        <v>50.18</v>
      </c>
      <c r="AN10" s="228">
        <v>3</v>
      </c>
      <c r="AO10" s="221">
        <f>VLOOKUP($AI10,Funding!$A$1:$G$6,3,FALSE)*$AG10</f>
        <v>0</v>
      </c>
      <c r="AP10" s="221">
        <f>VLOOKUP($AI10,Funding!$A$1:$G$6,4,FALSE)*$AG10</f>
        <v>1016145</v>
      </c>
      <c r="AQ10" s="351"/>
      <c r="AR10" s="274"/>
      <c r="AS10" s="222">
        <f t="shared" si="11"/>
        <v>50</v>
      </c>
      <c r="AT10" s="222"/>
      <c r="AU10" s="222">
        <f t="shared" si="12"/>
        <v>50</v>
      </c>
      <c r="AV10" s="221">
        <f>VLOOKUP($AN10,'Impact Fee'!$A$1:$E$20,5,FALSE)*AU10</f>
        <v>600000</v>
      </c>
      <c r="AW10" s="221">
        <f t="shared" si="13"/>
        <v>0</v>
      </c>
      <c r="AX10" s="221"/>
      <c r="AY10" s="321"/>
      <c r="AZ10" s="221">
        <f t="shared" si="14"/>
        <v>600000</v>
      </c>
      <c r="BA10" s="221">
        <f t="shared" si="15"/>
        <v>600000</v>
      </c>
      <c r="BB10" s="221">
        <f t="shared" si="16"/>
        <v>1616145</v>
      </c>
      <c r="BC10" s="271">
        <f t="shared" si="222"/>
        <v>4.8</v>
      </c>
      <c r="BD10" s="271">
        <f t="shared" si="223"/>
        <v>12.92916</v>
      </c>
      <c r="BE10" s="271"/>
      <c r="BF10" s="221">
        <f t="shared" si="17"/>
        <v>16400000</v>
      </c>
      <c r="BG10" s="221">
        <f t="shared" si="18"/>
        <v>0</v>
      </c>
      <c r="BH10" s="221">
        <f t="shared" si="19"/>
        <v>0</v>
      </c>
      <c r="BI10" s="221">
        <f t="shared" si="20"/>
        <v>0</v>
      </c>
      <c r="BJ10" s="221">
        <f t="shared" si="21"/>
        <v>0</v>
      </c>
      <c r="BK10" s="221">
        <f t="shared" si="22"/>
        <v>0</v>
      </c>
      <c r="BL10" s="221">
        <f t="shared" si="23"/>
        <v>0</v>
      </c>
      <c r="BM10" s="221">
        <f t="shared" si="24"/>
        <v>0</v>
      </c>
      <c r="BN10" s="259"/>
      <c r="BO10" s="260"/>
      <c r="BP10" s="259">
        <f t="shared" si="25"/>
        <v>50</v>
      </c>
      <c r="BQ10" s="261">
        <v>1</v>
      </c>
      <c r="BR10" s="261">
        <f>IF(BQ10&gt;0.2,0.35,VLOOKUP(BQ10,'Density Bonus'!$A$1:$B$15,2,FALSE))</f>
        <v>0.35</v>
      </c>
      <c r="BS10" s="262">
        <f t="shared" si="26"/>
        <v>50.18</v>
      </c>
      <c r="BT10" s="262">
        <f t="shared" si="27"/>
        <v>51</v>
      </c>
      <c r="BU10" s="349"/>
      <c r="BV10" s="263">
        <f t="shared" si="28"/>
        <v>51</v>
      </c>
      <c r="BW10" s="263">
        <f t="shared" si="29"/>
        <v>0</v>
      </c>
      <c r="BX10" s="264">
        <f t="shared" si="30"/>
        <v>0</v>
      </c>
      <c r="BY10" s="264">
        <f>IF(BQ10&lt;0.15,(VLOOKUP($AN10,'Impact Fee'!$A$1:$E$10,5,FALSE)*BW10),0)</f>
        <v>0</v>
      </c>
      <c r="BZ10" s="264">
        <f t="shared" si="31"/>
        <v>0</v>
      </c>
      <c r="CA10" s="264">
        <f t="shared" si="32"/>
        <v>0</v>
      </c>
      <c r="CB10" s="264">
        <f t="shared" si="33"/>
        <v>0</v>
      </c>
      <c r="CC10" s="264">
        <f t="shared" si="34"/>
        <v>0</v>
      </c>
      <c r="CD10" s="264">
        <f t="shared" si="35"/>
        <v>0</v>
      </c>
      <c r="CE10" s="264">
        <f>CD10*IF(F10="Commercial",CE$3,VLOOKUP($AI10,Funding!$A$1:$G$6,5,FALSE))</f>
        <v>0</v>
      </c>
      <c r="CF10" s="264">
        <f t="shared" si="36"/>
        <v>0</v>
      </c>
      <c r="CG10" s="264">
        <f t="shared" si="37"/>
        <v>-5189352</v>
      </c>
      <c r="CH10" s="264">
        <f t="shared" si="38"/>
        <v>-5189352</v>
      </c>
      <c r="CI10" s="264"/>
      <c r="CJ10" s="264">
        <f t="shared" si="39"/>
        <v>16728000</v>
      </c>
      <c r="CK10" s="264">
        <f t="shared" si="40"/>
        <v>0</v>
      </c>
      <c r="CL10" s="264">
        <f t="shared" si="41"/>
        <v>0</v>
      </c>
      <c r="CM10" s="264">
        <f t="shared" si="42"/>
        <v>0</v>
      </c>
      <c r="CN10" s="264">
        <f t="shared" si="43"/>
        <v>0</v>
      </c>
      <c r="CO10" s="264">
        <f t="shared" si="44"/>
        <v>0</v>
      </c>
      <c r="CP10" s="264">
        <f t="shared" si="45"/>
        <v>0</v>
      </c>
      <c r="CQ10" s="264">
        <f t="shared" si="46"/>
        <v>0</v>
      </c>
      <c r="CR10" s="264">
        <f t="shared" si="47"/>
        <v>0</v>
      </c>
      <c r="CS10" s="520"/>
      <c r="CT10" s="521"/>
      <c r="CU10" s="520">
        <f t="shared" si="48"/>
        <v>50</v>
      </c>
      <c r="CV10" s="522">
        <v>1</v>
      </c>
      <c r="CW10" s="522">
        <f>IF(CV10&gt;0.2,0.35,VLOOKUP(CV10,'Density Bonus'!$A$1:$B$15,2,FALSE))</f>
        <v>0.35</v>
      </c>
      <c r="CX10" s="523">
        <f t="shared" si="49"/>
        <v>50.18</v>
      </c>
      <c r="CY10" s="523">
        <f t="shared" si="50"/>
        <v>51</v>
      </c>
      <c r="CZ10" s="347"/>
      <c r="DA10" s="524">
        <f t="shared" si="51"/>
        <v>51</v>
      </c>
      <c r="DB10" s="524">
        <f t="shared" si="52"/>
        <v>0</v>
      </c>
      <c r="DC10" s="525">
        <f t="shared" si="53"/>
        <v>0</v>
      </c>
      <c r="DD10" s="525">
        <f>IF(CV10&lt;0.4,VLOOKUP($AN10,'Impact Fee'!$A$1:$E$10,5,FALSE)*DB10,0)</f>
        <v>0</v>
      </c>
      <c r="DE10" s="525">
        <f t="shared" si="54"/>
        <v>0</v>
      </c>
      <c r="DF10" s="525">
        <f t="shared" si="55"/>
        <v>0</v>
      </c>
      <c r="DG10" s="525">
        <f t="shared" si="56"/>
        <v>5189352</v>
      </c>
      <c r="DH10" s="525">
        <f t="shared" si="57"/>
        <v>0</v>
      </c>
      <c r="DI10" s="525">
        <f t="shared" si="58"/>
        <v>-5189352</v>
      </c>
      <c r="DJ10" s="525">
        <f t="shared" si="59"/>
        <v>0</v>
      </c>
      <c r="DK10" s="525">
        <f t="shared" si="60"/>
        <v>0</v>
      </c>
      <c r="DL10" s="525">
        <f t="shared" si="61"/>
        <v>0</v>
      </c>
      <c r="DM10" s="525">
        <f t="shared" si="62"/>
        <v>0</v>
      </c>
      <c r="DN10" s="525">
        <f t="shared" si="63"/>
        <v>0</v>
      </c>
      <c r="DO10" s="525">
        <f>VLOOKUP($AI10,Funding!$A$1:$G$6,6,FALSE)*DN10</f>
        <v>0</v>
      </c>
      <c r="DP10" s="525">
        <f t="shared" si="64"/>
        <v>0</v>
      </c>
      <c r="DQ10" s="525">
        <f t="shared" si="65"/>
        <v>-5189352</v>
      </c>
      <c r="DR10" s="525">
        <f t="shared" si="66"/>
        <v>-5189352</v>
      </c>
      <c r="DS10" s="525"/>
      <c r="DT10" s="525">
        <f t="shared" si="67"/>
        <v>16728000</v>
      </c>
      <c r="DU10" s="525">
        <f t="shared" si="68"/>
        <v>0</v>
      </c>
      <c r="DV10" s="525">
        <f t="shared" si="69"/>
        <v>0</v>
      </c>
      <c r="DW10" s="525">
        <f t="shared" si="70"/>
        <v>0</v>
      </c>
      <c r="DX10" s="525">
        <f t="shared" si="71"/>
        <v>0</v>
      </c>
      <c r="DY10" s="525">
        <f t="shared" si="72"/>
        <v>0</v>
      </c>
      <c r="DZ10" s="525">
        <f t="shared" si="73"/>
        <v>0</v>
      </c>
      <c r="EA10" s="819"/>
      <c r="EB10" s="820"/>
      <c r="EC10" s="819">
        <f t="shared" si="74"/>
        <v>50</v>
      </c>
      <c r="ED10" s="821">
        <v>0.15</v>
      </c>
      <c r="EE10" s="821">
        <f>IF(ED10&gt;0.2,0.35,VLOOKUP(ED10,'Density Bonus'!$A$1:$B$15,2,FALSE))</f>
        <v>0.27500000000000002</v>
      </c>
      <c r="EF10" s="822">
        <f t="shared" si="75"/>
        <v>50.18</v>
      </c>
      <c r="EG10" s="822">
        <f t="shared" si="76"/>
        <v>51</v>
      </c>
      <c r="EH10" s="823"/>
      <c r="EI10" s="824">
        <f t="shared" si="77"/>
        <v>8</v>
      </c>
      <c r="EJ10" s="824">
        <f t="shared" si="78"/>
        <v>43</v>
      </c>
      <c r="EK10" s="825">
        <f t="shared" si="79"/>
        <v>0</v>
      </c>
      <c r="EL10" s="825">
        <f>IF(ED10&lt;0.4,VLOOKUP($AN10,'Impact Fee'!$A$1:$E$10,5,FALSE)*EJ10,0)</f>
        <v>516000</v>
      </c>
      <c r="EM10" s="825">
        <f t="shared" si="80"/>
        <v>516000</v>
      </c>
      <c r="EN10" s="825">
        <f t="shared" si="81"/>
        <v>1532145</v>
      </c>
      <c r="EO10" s="825">
        <f t="shared" si="82"/>
        <v>1796531.1999999997</v>
      </c>
      <c r="EP10" s="825">
        <f t="shared" si="83"/>
        <v>1297338</v>
      </c>
      <c r="EQ10" s="825">
        <f t="shared" si="84"/>
        <v>-264386.19999999972</v>
      </c>
      <c r="ER10" s="825">
        <f t="shared" si="85"/>
        <v>0</v>
      </c>
      <c r="ES10" s="825">
        <f t="shared" si="86"/>
        <v>0</v>
      </c>
      <c r="ET10" s="825">
        <f t="shared" si="87"/>
        <v>0</v>
      </c>
      <c r="EU10" s="825">
        <f t="shared" si="88"/>
        <v>0</v>
      </c>
      <c r="EV10" s="825">
        <f t="shared" si="89"/>
        <v>0</v>
      </c>
      <c r="EW10" s="825">
        <f>VLOOKUP($AI10,Funding!$A$1:$G$6,6,FALSE)*EV10</f>
        <v>0</v>
      </c>
      <c r="EX10" s="825">
        <f t="shared" si="90"/>
        <v>0</v>
      </c>
      <c r="EY10" s="825">
        <f t="shared" si="91"/>
        <v>-264386.19999999972</v>
      </c>
      <c r="EZ10" s="825">
        <f t="shared" si="92"/>
        <v>-264386.19999999972</v>
      </c>
      <c r="FA10" s="825"/>
      <c r="FB10" s="825">
        <f t="shared" si="93"/>
        <v>16728000</v>
      </c>
      <c r="FC10" s="825">
        <f t="shared" si="94"/>
        <v>0</v>
      </c>
      <c r="FD10" s="825">
        <f t="shared" si="95"/>
        <v>0</v>
      </c>
      <c r="FE10" s="825">
        <f t="shared" si="96"/>
        <v>0</v>
      </c>
      <c r="FF10" s="825">
        <f t="shared" si="97"/>
        <v>0</v>
      </c>
      <c r="FG10" s="825">
        <f t="shared" si="98"/>
        <v>0</v>
      </c>
      <c r="FH10" s="825">
        <f t="shared" si="99"/>
        <v>0</v>
      </c>
      <c r="FI10" s="545"/>
      <c r="FJ10" s="546"/>
      <c r="FK10" s="546"/>
      <c r="FL10" s="545">
        <f t="shared" si="100"/>
        <v>50</v>
      </c>
      <c r="FM10" s="547">
        <v>0.15</v>
      </c>
      <c r="FN10" s="547">
        <f>IF(FM10&gt;0.2,0.35,VLOOKUP(FM10,'Density Bonus'!$A$1:$B$15,2,FALSE))</f>
        <v>0.27500000000000002</v>
      </c>
      <c r="FO10" s="548">
        <f t="shared" si="101"/>
        <v>50.18</v>
      </c>
      <c r="FP10" s="548">
        <f t="shared" si="102"/>
        <v>51</v>
      </c>
      <c r="FQ10" s="347"/>
      <c r="FR10" s="549">
        <f t="shared" si="103"/>
        <v>8</v>
      </c>
      <c r="FS10" s="549">
        <f t="shared" si="104"/>
        <v>43</v>
      </c>
      <c r="FT10" s="550">
        <f t="shared" si="105"/>
        <v>0</v>
      </c>
      <c r="FU10" s="550">
        <f>IF(FM10&lt;0.15,(VLOOKUP($AN10,'Impact Fee'!$A$1:$E$10,5,FALSE)*FS10),0)</f>
        <v>0</v>
      </c>
      <c r="FV10" s="550">
        <f t="shared" si="106"/>
        <v>0</v>
      </c>
      <c r="FW10" s="550">
        <f t="shared" si="107"/>
        <v>1016145</v>
      </c>
      <c r="FX10" s="550">
        <f t="shared" si="108"/>
        <v>1796531.1999999997</v>
      </c>
      <c r="FY10" s="550">
        <f t="shared" si="109"/>
        <v>0</v>
      </c>
      <c r="FZ10" s="550">
        <f t="shared" si="110"/>
        <v>0</v>
      </c>
      <c r="GA10" s="550">
        <f>VLOOKUP($AI10,Funding!$A$1:$G$6,3,FALSE)*FZ10</f>
        <v>0</v>
      </c>
      <c r="GB10" s="550">
        <f t="shared" si="111"/>
        <v>0</v>
      </c>
      <c r="GC10" s="550">
        <f t="shared" si="112"/>
        <v>-780386.19999999972</v>
      </c>
      <c r="GD10" s="550">
        <f t="shared" si="113"/>
        <v>-780386.19999999972</v>
      </c>
      <c r="GE10" s="550"/>
      <c r="GF10" s="550">
        <f t="shared" si="114"/>
        <v>16728000</v>
      </c>
      <c r="GG10" s="550">
        <f t="shared" si="115"/>
        <v>0</v>
      </c>
      <c r="GH10" s="550">
        <f t="shared" si="116"/>
        <v>0</v>
      </c>
      <c r="GI10" s="550">
        <f t="shared" si="117"/>
        <v>0</v>
      </c>
      <c r="GJ10" s="550">
        <f t="shared" si="118"/>
        <v>0</v>
      </c>
      <c r="GK10" s="550">
        <f t="shared" si="119"/>
        <v>0</v>
      </c>
      <c r="GL10" s="550">
        <f t="shared" si="120"/>
        <v>0</v>
      </c>
      <c r="GM10" s="550">
        <f t="shared" si="121"/>
        <v>0</v>
      </c>
      <c r="GN10" s="550">
        <f t="shared" si="122"/>
        <v>0</v>
      </c>
      <c r="GO10" s="199"/>
      <c r="GP10" s="275"/>
      <c r="GQ10" s="199">
        <f t="shared" si="123"/>
        <v>50</v>
      </c>
      <c r="GR10" s="34">
        <v>1</v>
      </c>
      <c r="GS10" s="34">
        <f>IF(GR10&gt;0.2,0.35,VLOOKUP(GR10,'Density Bonus'!$A$1:$B$15,2,FALSE))</f>
        <v>0.35</v>
      </c>
      <c r="GT10" s="235">
        <f t="shared" si="124"/>
        <v>50.18</v>
      </c>
      <c r="GU10" s="235">
        <f t="shared" si="125"/>
        <v>51</v>
      </c>
      <c r="GV10" s="347"/>
      <c r="GW10" s="31">
        <f t="shared" si="126"/>
        <v>51</v>
      </c>
      <c r="GX10" s="31">
        <f t="shared" si="127"/>
        <v>0</v>
      </c>
      <c r="GY10" s="196" t="str">
        <f t="shared" si="128"/>
        <v/>
      </c>
      <c r="GZ10" s="238">
        <f t="shared" si="129"/>
        <v>0</v>
      </c>
      <c r="HA10" s="238">
        <f t="shared" si="130"/>
        <v>0</v>
      </c>
      <c r="HB10" s="238">
        <f t="shared" si="131"/>
        <v>0</v>
      </c>
      <c r="HC10" s="238">
        <f t="shared" si="224"/>
        <v>0</v>
      </c>
      <c r="HD10" s="238">
        <f>VLOOKUP($AI10,Funding!$A$1:$G$6,7,FALSE)*HC10</f>
        <v>0</v>
      </c>
      <c r="HE10" s="238">
        <f t="shared" si="225"/>
        <v>0</v>
      </c>
      <c r="HF10" s="238">
        <f t="shared" si="226"/>
        <v>-5189352</v>
      </c>
      <c r="HG10" s="238">
        <f t="shared" si="132"/>
        <v>-5189352</v>
      </c>
      <c r="HH10" s="238"/>
      <c r="HI10" s="238">
        <f t="shared" si="133"/>
        <v>16728000</v>
      </c>
      <c r="HJ10" s="238">
        <f t="shared" si="134"/>
        <v>0</v>
      </c>
      <c r="HK10" s="238">
        <f t="shared" si="135"/>
        <v>0</v>
      </c>
      <c r="HL10" s="238">
        <f t="shared" si="136"/>
        <v>0</v>
      </c>
      <c r="HM10" s="238">
        <f t="shared" si="137"/>
        <v>0</v>
      </c>
      <c r="HN10" s="238">
        <f t="shared" si="138"/>
        <v>0</v>
      </c>
      <c r="HO10" s="238">
        <f t="shared" si="139"/>
        <v>0</v>
      </c>
      <c r="HP10" s="397"/>
      <c r="HQ10" s="424"/>
      <c r="HR10" s="426">
        <f t="shared" si="140"/>
        <v>1016145</v>
      </c>
      <c r="HS10" s="425">
        <f t="shared" si="141"/>
        <v>0</v>
      </c>
      <c r="HT10" s="425">
        <f t="shared" si="142"/>
        <v>50</v>
      </c>
      <c r="HU10" s="429">
        <f t="shared" si="143"/>
        <v>0</v>
      </c>
      <c r="HV10" s="429">
        <f t="shared" si="143"/>
        <v>0</v>
      </c>
      <c r="HW10" s="429">
        <f t="shared" si="143"/>
        <v>0</v>
      </c>
      <c r="HX10" s="429">
        <f t="shared" si="143"/>
        <v>0</v>
      </c>
      <c r="HY10" s="429">
        <f t="shared" si="143"/>
        <v>0</v>
      </c>
      <c r="HZ10" s="426">
        <f t="shared" si="144"/>
        <v>328000</v>
      </c>
      <c r="IA10" s="426"/>
      <c r="IB10" s="426"/>
      <c r="IC10" s="425"/>
      <c r="ID10" s="425"/>
      <c r="IE10" s="425"/>
      <c r="IF10" s="427">
        <f>((HR10+(HT10*HZ10)+(HU10*IA10)+(HV10*IB10)+(HW10*IC10)+(HX10*ID10))*0.01*0.29)</f>
        <v>50506.820500000002</v>
      </c>
      <c r="IG10" s="428">
        <f t="shared" si="145"/>
        <v>28963.049135000008</v>
      </c>
      <c r="IH10" s="428">
        <f t="shared" si="146"/>
        <v>0</v>
      </c>
      <c r="II10" s="428">
        <f t="shared" si="147"/>
        <v>21136.342500000002</v>
      </c>
      <c r="IJ10" s="428">
        <f t="shared" si="148"/>
        <v>0</v>
      </c>
      <c r="IK10" s="428">
        <f t="shared" si="149"/>
        <v>100606.21213500001</v>
      </c>
      <c r="IL10" s="429">
        <f t="shared" si="150"/>
        <v>0</v>
      </c>
      <c r="IM10" s="427">
        <f>Sites!AG10</f>
        <v>1016145</v>
      </c>
      <c r="IN10" s="428">
        <f t="shared" si="151"/>
        <v>15242.174999999999</v>
      </c>
      <c r="IO10" s="429">
        <f t="shared" si="152"/>
        <v>82</v>
      </c>
      <c r="IP10" s="426">
        <f t="shared" si="153"/>
        <v>3628998.8544111345</v>
      </c>
      <c r="IQ10" s="426">
        <f t="shared" si="154"/>
        <v>1946945.9079006331</v>
      </c>
      <c r="IR10" s="430">
        <v>2023</v>
      </c>
      <c r="IS10" s="431"/>
      <c r="IT10" s="431"/>
      <c r="IU10" s="431"/>
      <c r="IV10" s="431"/>
      <c r="IW10" s="428"/>
      <c r="IX10" s="428"/>
      <c r="IY10" s="428">
        <f>IY$4*$IK10</f>
        <v>113298.93525093881</v>
      </c>
      <c r="IZ10" s="428">
        <f t="shared" si="155"/>
        <v>115564.91395595756</v>
      </c>
      <c r="JA10" s="428">
        <f t="shared" si="155"/>
        <v>117876.21223507673</v>
      </c>
      <c r="JB10" s="428">
        <f t="shared" si="155"/>
        <v>120233.73647977826</v>
      </c>
      <c r="JC10" s="428">
        <f t="shared" si="155"/>
        <v>122638.41120937384</v>
      </c>
      <c r="JD10" s="428">
        <f t="shared" si="155"/>
        <v>125091.17943356128</v>
      </c>
      <c r="JE10" s="428">
        <f t="shared" si="155"/>
        <v>127593.00302223253</v>
      </c>
      <c r="JF10" s="428">
        <f t="shared" si="155"/>
        <v>130144.86308267717</v>
      </c>
      <c r="JG10" s="428">
        <f t="shared" si="155"/>
        <v>132747.76034433072</v>
      </c>
      <c r="JH10" s="428">
        <f t="shared" si="155"/>
        <v>135402.71555121732</v>
      </c>
      <c r="JI10" s="428">
        <f t="shared" si="155"/>
        <v>138110.76986224166</v>
      </c>
      <c r="JJ10" s="428">
        <f t="shared" si="156"/>
        <v>140872.98525948651</v>
      </c>
      <c r="JK10" s="428">
        <f t="shared" si="156"/>
        <v>143690.44496467622</v>
      </c>
      <c r="JL10" s="428">
        <f t="shared" si="156"/>
        <v>146564.25386396976</v>
      </c>
      <c r="JM10" s="428">
        <f t="shared" si="156"/>
        <v>149495.53894124916</v>
      </c>
      <c r="JN10" s="428">
        <f t="shared" si="156"/>
        <v>152485.44972007413</v>
      </c>
      <c r="JO10" s="428">
        <f t="shared" si="156"/>
        <v>155535.15871447563</v>
      </c>
      <c r="JP10" s="428">
        <f t="shared" si="156"/>
        <v>158645.86188876512</v>
      </c>
      <c r="JQ10" s="428">
        <f t="shared" si="156"/>
        <v>161818.77912654041</v>
      </c>
      <c r="JR10" s="428">
        <f t="shared" si="156"/>
        <v>165055.15470907124</v>
      </c>
      <c r="JS10" s="428">
        <f t="shared" si="156"/>
        <v>168356.25780325267</v>
      </c>
      <c r="JT10" s="428">
        <f t="shared" si="156"/>
        <v>171723.38295931771</v>
      </c>
      <c r="JU10" s="428">
        <f t="shared" si="156"/>
        <v>175157.85061850408</v>
      </c>
      <c r="JV10" s="428">
        <f t="shared" si="156"/>
        <v>178661.00763087414</v>
      </c>
      <c r="JW10" s="428">
        <f t="shared" si="156"/>
        <v>182234.22778349163</v>
      </c>
      <c r="JX10" s="432"/>
      <c r="JY10" s="435">
        <f t="shared" si="157"/>
        <v>51</v>
      </c>
      <c r="JZ10" s="435">
        <f t="shared" si="158"/>
        <v>0</v>
      </c>
      <c r="KA10" s="435">
        <f t="shared" si="159"/>
        <v>0</v>
      </c>
      <c r="KB10" s="435">
        <f t="shared" si="160"/>
        <v>0</v>
      </c>
      <c r="KC10" s="435">
        <f t="shared" si="161"/>
        <v>0</v>
      </c>
      <c r="KD10" s="435">
        <f t="shared" si="162"/>
        <v>0</v>
      </c>
      <c r="KE10" s="435">
        <f t="shared" si="163"/>
        <v>0</v>
      </c>
      <c r="KF10" s="432">
        <f t="shared" si="164"/>
        <v>328000</v>
      </c>
      <c r="KG10" s="445">
        <f t="shared" si="165"/>
        <v>0</v>
      </c>
      <c r="KH10" s="445">
        <f t="shared" si="166"/>
        <v>0</v>
      </c>
      <c r="KI10" s="445">
        <f t="shared" si="167"/>
        <v>0</v>
      </c>
      <c r="KJ10" s="445">
        <f t="shared" si="168"/>
        <v>0</v>
      </c>
      <c r="KK10" s="445">
        <f t="shared" si="169"/>
        <v>0</v>
      </c>
      <c r="KL10" s="434">
        <v>0</v>
      </c>
      <c r="KM10" s="432">
        <f t="shared" si="170"/>
        <v>0</v>
      </c>
      <c r="KN10" s="432">
        <f t="shared" si="171"/>
        <v>0</v>
      </c>
      <c r="KO10" s="432">
        <f t="shared" si="172"/>
        <v>0</v>
      </c>
      <c r="KP10" s="432">
        <f t="shared" si="173"/>
        <v>0</v>
      </c>
      <c r="KQ10" s="432">
        <f t="shared" si="174"/>
        <v>0</v>
      </c>
      <c r="KR10" s="435">
        <f t="shared" si="175"/>
        <v>0</v>
      </c>
      <c r="KS10" s="434">
        <f t="shared" si="176"/>
        <v>0</v>
      </c>
      <c r="KT10" s="432">
        <f t="shared" si="177"/>
        <v>0</v>
      </c>
      <c r="KU10" s="435">
        <f t="shared" si="178"/>
        <v>83.64</v>
      </c>
      <c r="KV10" s="433">
        <f t="shared" si="179"/>
        <v>0</v>
      </c>
      <c r="KW10" s="433">
        <f t="shared" si="180"/>
        <v>0</v>
      </c>
      <c r="KX10" s="436">
        <f t="shared" si="181"/>
        <v>2023</v>
      </c>
      <c r="KY10" s="411"/>
      <c r="KZ10" s="411"/>
      <c r="LA10" s="411"/>
      <c r="LB10" s="411"/>
      <c r="LC10" s="411"/>
      <c r="LD10" s="411"/>
      <c r="LE10" s="446">
        <f>LE$4*$KQ10</f>
        <v>0</v>
      </c>
      <c r="LF10" s="446">
        <f t="shared" si="182"/>
        <v>0</v>
      </c>
      <c r="LG10" s="446">
        <f t="shared" si="182"/>
        <v>0</v>
      </c>
      <c r="LH10" s="446">
        <f t="shared" si="182"/>
        <v>0</v>
      </c>
      <c r="LI10" s="446">
        <f t="shared" si="182"/>
        <v>0</v>
      </c>
      <c r="LJ10" s="446">
        <f t="shared" si="182"/>
        <v>0</v>
      </c>
      <c r="LK10" s="446">
        <f t="shared" si="182"/>
        <v>0</v>
      </c>
      <c r="LL10" s="446">
        <f t="shared" si="182"/>
        <v>0</v>
      </c>
      <c r="LM10" s="446">
        <f t="shared" si="182"/>
        <v>0</v>
      </c>
      <c r="LN10" s="446">
        <f t="shared" si="182"/>
        <v>0</v>
      </c>
      <c r="LO10" s="446">
        <f t="shared" si="182"/>
        <v>0</v>
      </c>
      <c r="LP10" s="446">
        <f t="shared" si="183"/>
        <v>0</v>
      </c>
      <c r="LQ10" s="446">
        <f t="shared" si="183"/>
        <v>0</v>
      </c>
      <c r="LR10" s="446">
        <f t="shared" si="183"/>
        <v>0</v>
      </c>
      <c r="LS10" s="446">
        <f t="shared" si="183"/>
        <v>0</v>
      </c>
      <c r="LT10" s="446">
        <f t="shared" si="183"/>
        <v>0</v>
      </c>
      <c r="LU10" s="446">
        <f t="shared" si="183"/>
        <v>0</v>
      </c>
      <c r="LV10" s="446">
        <f t="shared" si="183"/>
        <v>0</v>
      </c>
      <c r="LW10" s="446">
        <f t="shared" si="183"/>
        <v>0</v>
      </c>
      <c r="LX10" s="446">
        <f t="shared" si="183"/>
        <v>0</v>
      </c>
      <c r="LY10" s="446">
        <f t="shared" si="183"/>
        <v>0</v>
      </c>
      <c r="LZ10" s="446">
        <f t="shared" si="183"/>
        <v>0</v>
      </c>
      <c r="MA10" s="446">
        <f t="shared" si="183"/>
        <v>0</v>
      </c>
      <c r="MB10" s="446">
        <f t="shared" si="183"/>
        <v>0</v>
      </c>
      <c r="MC10" s="446">
        <f t="shared" si="183"/>
        <v>0</v>
      </c>
      <c r="MD10" s="496"/>
      <c r="ME10" s="497">
        <f t="shared" si="184"/>
        <v>0</v>
      </c>
      <c r="MF10" s="497">
        <f t="shared" si="185"/>
        <v>0</v>
      </c>
      <c r="MG10" s="497">
        <f t="shared" si="186"/>
        <v>0</v>
      </c>
      <c r="MH10" s="497">
        <f t="shared" si="187"/>
        <v>0</v>
      </c>
      <c r="MI10" s="497">
        <f t="shared" si="188"/>
        <v>0</v>
      </c>
      <c r="MJ10" s="498">
        <f t="shared" si="189"/>
        <v>0</v>
      </c>
      <c r="MK10" s="498">
        <f t="shared" si="190"/>
        <v>0</v>
      </c>
      <c r="ML10" s="498">
        <f t="shared" si="191"/>
        <v>0</v>
      </c>
      <c r="MM10" s="498">
        <f t="shared" si="192"/>
        <v>0</v>
      </c>
      <c r="MN10" s="498">
        <f t="shared" si="193"/>
        <v>0</v>
      </c>
      <c r="MO10" s="454"/>
      <c r="MP10" s="448">
        <f t="shared" si="194"/>
        <v>51</v>
      </c>
      <c r="MQ10" s="448">
        <f t="shared" si="195"/>
        <v>0</v>
      </c>
      <c r="MR10" s="448">
        <f t="shared" si="196"/>
        <v>0</v>
      </c>
      <c r="MS10" s="448">
        <f t="shared" si="197"/>
        <v>0</v>
      </c>
      <c r="MT10" s="448">
        <f t="shared" si="198"/>
        <v>0</v>
      </c>
      <c r="MU10" s="448">
        <f t="shared" si="199"/>
        <v>0</v>
      </c>
      <c r="MV10" s="448">
        <f t="shared" si="200"/>
        <v>0</v>
      </c>
      <c r="MW10" s="450">
        <f t="shared" si="201"/>
        <v>328000</v>
      </c>
      <c r="MX10" s="450">
        <f t="shared" si="202"/>
        <v>0</v>
      </c>
      <c r="MY10" s="450">
        <f t="shared" si="203"/>
        <v>0</v>
      </c>
      <c r="MZ10" s="450">
        <f t="shared" si="204"/>
        <v>0</v>
      </c>
      <c r="NA10" s="450">
        <f t="shared" si="205"/>
        <v>0</v>
      </c>
      <c r="NB10" s="450">
        <f t="shared" si="206"/>
        <v>0</v>
      </c>
      <c r="NC10" s="451">
        <f t="shared" si="207"/>
        <v>0</v>
      </c>
      <c r="ND10" s="449">
        <f t="shared" si="208"/>
        <v>0</v>
      </c>
      <c r="NE10" s="449">
        <f t="shared" si="209"/>
        <v>0</v>
      </c>
      <c r="NF10" s="449">
        <f t="shared" si="210"/>
        <v>0</v>
      </c>
      <c r="NG10" s="449">
        <f t="shared" si="211"/>
        <v>0</v>
      </c>
      <c r="NH10" s="449">
        <f t="shared" si="212"/>
        <v>0</v>
      </c>
      <c r="NI10" s="448">
        <f t="shared" si="213"/>
        <v>0</v>
      </c>
      <c r="NJ10" s="451">
        <f t="shared" si="214"/>
        <v>0</v>
      </c>
      <c r="NK10" s="449">
        <f t="shared" si="215"/>
        <v>0</v>
      </c>
      <c r="NL10" s="448">
        <f t="shared" si="216"/>
        <v>83.64</v>
      </c>
      <c r="NM10" s="452">
        <f t="shared" si="217"/>
        <v>0</v>
      </c>
      <c r="NN10" s="452">
        <f t="shared" si="218"/>
        <v>0</v>
      </c>
      <c r="NO10" s="453">
        <f t="shared" si="219"/>
        <v>2023</v>
      </c>
      <c r="NP10" s="423"/>
      <c r="NQ10" s="423"/>
      <c r="NR10" s="423"/>
      <c r="NS10" s="423"/>
      <c r="NT10" s="423"/>
      <c r="NU10" s="423"/>
      <c r="NV10" s="454">
        <f>NV$4*$NH10</f>
        <v>0</v>
      </c>
      <c r="NW10" s="454">
        <f t="shared" si="220"/>
        <v>0</v>
      </c>
      <c r="NX10" s="454">
        <f t="shared" si="220"/>
        <v>0</v>
      </c>
      <c r="NY10" s="454">
        <f t="shared" si="220"/>
        <v>0</v>
      </c>
      <c r="NZ10" s="454">
        <f t="shared" si="220"/>
        <v>0</v>
      </c>
      <c r="OA10" s="454">
        <f t="shared" si="220"/>
        <v>0</v>
      </c>
      <c r="OB10" s="454">
        <f t="shared" si="220"/>
        <v>0</v>
      </c>
      <c r="OC10" s="454">
        <f t="shared" si="220"/>
        <v>0</v>
      </c>
      <c r="OD10" s="454">
        <f t="shared" si="220"/>
        <v>0</v>
      </c>
      <c r="OE10" s="454">
        <f t="shared" si="220"/>
        <v>0</v>
      </c>
      <c r="OF10" s="454">
        <f t="shared" si="220"/>
        <v>0</v>
      </c>
      <c r="OG10" s="454">
        <f t="shared" si="221"/>
        <v>0</v>
      </c>
      <c r="OH10" s="454">
        <f t="shared" si="221"/>
        <v>0</v>
      </c>
      <c r="OI10" s="454">
        <f t="shared" si="221"/>
        <v>0</v>
      </c>
      <c r="OJ10" s="454">
        <f t="shared" si="221"/>
        <v>0</v>
      </c>
      <c r="OK10" s="454">
        <f t="shared" si="221"/>
        <v>0</v>
      </c>
      <c r="OL10" s="454">
        <f t="shared" si="221"/>
        <v>0</v>
      </c>
      <c r="OM10" s="454">
        <f t="shared" si="221"/>
        <v>0</v>
      </c>
      <c r="ON10" s="454">
        <f t="shared" si="221"/>
        <v>0</v>
      </c>
      <c r="OO10" s="454">
        <f t="shared" si="221"/>
        <v>0</v>
      </c>
      <c r="OP10" s="454">
        <f t="shared" si="221"/>
        <v>0</v>
      </c>
      <c r="OQ10" s="454">
        <f t="shared" si="221"/>
        <v>0</v>
      </c>
      <c r="OR10" s="454">
        <f t="shared" si="221"/>
        <v>0</v>
      </c>
      <c r="OS10" s="454">
        <f t="shared" si="221"/>
        <v>0</v>
      </c>
      <c r="OT10" s="454">
        <f t="shared" si="221"/>
        <v>0</v>
      </c>
    </row>
    <row r="11" spans="1:410" s="11" customFormat="1" ht="30">
      <c r="A11" s="19" t="s">
        <v>9</v>
      </c>
      <c r="B11" s="19" t="s">
        <v>72</v>
      </c>
      <c r="C11" s="19" t="s">
        <v>431</v>
      </c>
      <c r="D11" s="19">
        <v>4</v>
      </c>
      <c r="E11" s="19" t="s">
        <v>293</v>
      </c>
      <c r="F11" s="19" t="s">
        <v>420</v>
      </c>
      <c r="G11" s="23">
        <v>8</v>
      </c>
      <c r="H11" s="23"/>
      <c r="I11" s="442">
        <v>34164</v>
      </c>
      <c r="J11" s="20"/>
      <c r="K11" s="20"/>
      <c r="L11" s="20"/>
      <c r="M11" s="20"/>
      <c r="N11" s="20"/>
      <c r="O11" s="442">
        <f t="shared" si="3"/>
        <v>0</v>
      </c>
      <c r="P11" s="21"/>
      <c r="Q11" s="21" t="s">
        <v>42</v>
      </c>
      <c r="R11" s="27">
        <f t="shared" si="4"/>
        <v>75.92</v>
      </c>
      <c r="S11" s="457">
        <v>2.5</v>
      </c>
      <c r="T11" s="27">
        <f>I11*S11</f>
        <v>85410</v>
      </c>
      <c r="U11" s="21">
        <v>45</v>
      </c>
      <c r="V11" s="19" t="s">
        <v>30</v>
      </c>
      <c r="W11" s="22" t="s">
        <v>101</v>
      </c>
      <c r="X11" s="19" t="s">
        <v>37</v>
      </c>
      <c r="Y11" s="19"/>
      <c r="Z11" s="19" t="s">
        <v>8</v>
      </c>
      <c r="AA11" s="219" t="s">
        <v>84</v>
      </c>
      <c r="AB11" s="219" t="s">
        <v>78</v>
      </c>
      <c r="AC11" s="224">
        <v>45</v>
      </c>
      <c r="AD11" s="224">
        <f t="shared" si="5"/>
        <v>1537380</v>
      </c>
      <c r="AE11" s="24"/>
      <c r="AF11" s="273"/>
      <c r="AG11" s="220">
        <f t="shared" si="6"/>
        <v>1537380</v>
      </c>
      <c r="AH11" s="220">
        <f t="shared" si="7"/>
        <v>1537380</v>
      </c>
      <c r="AI11" s="24" t="s">
        <v>248</v>
      </c>
      <c r="AJ11" s="228">
        <f>VLOOKUP($Q11,'Zoning Density'!$A$1:$E$28,3,)</f>
        <v>450</v>
      </c>
      <c r="AK11" s="228">
        <f t="shared" si="8"/>
        <v>450</v>
      </c>
      <c r="AL11" s="229">
        <f t="shared" si="9"/>
        <v>75.92</v>
      </c>
      <c r="AM11" s="229">
        <f t="shared" si="10"/>
        <v>75.92</v>
      </c>
      <c r="AN11" s="228">
        <v>3</v>
      </c>
      <c r="AO11" s="221">
        <f>VLOOKUP($AI11,Funding!$A$1:$G$6,3,FALSE)*$AG11</f>
        <v>0</v>
      </c>
      <c r="AP11" s="221">
        <f>VLOOKUP($AI11,Funding!$A$1:$G$6,4,FALSE)*$AG11</f>
        <v>1537380</v>
      </c>
      <c r="AQ11" s="351"/>
      <c r="AR11" s="274"/>
      <c r="AS11" s="222">
        <f t="shared" si="11"/>
        <v>75</v>
      </c>
      <c r="AT11" s="222"/>
      <c r="AU11" s="222">
        <f t="shared" si="12"/>
        <v>75</v>
      </c>
      <c r="AV11" s="221">
        <f>VLOOKUP($AN11,'Impact Fee'!$A$1:$E$20,5,FALSE)*AU11</f>
        <v>900000</v>
      </c>
      <c r="AW11" s="221">
        <f t="shared" si="13"/>
        <v>0</v>
      </c>
      <c r="AX11" s="221"/>
      <c r="AY11" s="321"/>
      <c r="AZ11" s="221">
        <f t="shared" si="14"/>
        <v>900000</v>
      </c>
      <c r="BA11" s="221">
        <f t="shared" si="15"/>
        <v>900000</v>
      </c>
      <c r="BB11" s="221">
        <f t="shared" si="16"/>
        <v>2437380</v>
      </c>
      <c r="BC11" s="271">
        <f t="shared" si="222"/>
        <v>7.2</v>
      </c>
      <c r="BD11" s="271">
        <f t="shared" si="223"/>
        <v>19.499040000000001</v>
      </c>
      <c r="BE11" s="271"/>
      <c r="BF11" s="221">
        <f t="shared" si="17"/>
        <v>24600000</v>
      </c>
      <c r="BG11" s="221">
        <f t="shared" si="18"/>
        <v>0</v>
      </c>
      <c r="BH11" s="221">
        <f t="shared" si="19"/>
        <v>0</v>
      </c>
      <c r="BI11" s="221">
        <f t="shared" si="20"/>
        <v>0</v>
      </c>
      <c r="BJ11" s="221">
        <f t="shared" si="21"/>
        <v>0</v>
      </c>
      <c r="BK11" s="221">
        <f t="shared" si="22"/>
        <v>0</v>
      </c>
      <c r="BL11" s="221">
        <f t="shared" si="23"/>
        <v>0</v>
      </c>
      <c r="BM11" s="221">
        <f t="shared" si="24"/>
        <v>0</v>
      </c>
      <c r="BN11" s="259"/>
      <c r="BO11" s="260"/>
      <c r="BP11" s="259">
        <f t="shared" si="25"/>
        <v>75</v>
      </c>
      <c r="BQ11" s="261">
        <v>1</v>
      </c>
      <c r="BR11" s="261">
        <f>IF(BQ11&gt;0.2,0.35,VLOOKUP(BQ11,'Density Bonus'!$A$1:$B$15,2,FALSE))</f>
        <v>0.35</v>
      </c>
      <c r="BS11" s="262">
        <f t="shared" si="26"/>
        <v>75.92</v>
      </c>
      <c r="BT11" s="262">
        <f t="shared" si="27"/>
        <v>76</v>
      </c>
      <c r="BU11" s="349"/>
      <c r="BV11" s="263">
        <f t="shared" si="28"/>
        <v>76</v>
      </c>
      <c r="BW11" s="263">
        <f t="shared" si="29"/>
        <v>0</v>
      </c>
      <c r="BX11" s="264">
        <f t="shared" si="30"/>
        <v>0</v>
      </c>
      <c r="BY11" s="264">
        <f>IF(BQ11&lt;0.15,(VLOOKUP($AN11,'Impact Fee'!$A$1:$E$10,5,FALSE)*BW11),0)</f>
        <v>0</v>
      </c>
      <c r="BZ11" s="264">
        <f t="shared" si="31"/>
        <v>0</v>
      </c>
      <c r="CA11" s="264">
        <f t="shared" si="32"/>
        <v>0</v>
      </c>
      <c r="CB11" s="264">
        <f t="shared" si="33"/>
        <v>0</v>
      </c>
      <c r="CC11" s="264">
        <f t="shared" si="34"/>
        <v>0</v>
      </c>
      <c r="CD11" s="264">
        <f t="shared" si="35"/>
        <v>0</v>
      </c>
      <c r="CE11" s="264">
        <f>CD11*IF(F11="Commercial",CE$3,VLOOKUP($AI11,Funding!$A$1:$G$6,5,FALSE))</f>
        <v>0</v>
      </c>
      <c r="CF11" s="264">
        <f t="shared" si="36"/>
        <v>0</v>
      </c>
      <c r="CG11" s="264">
        <f t="shared" si="37"/>
        <v>-7733152</v>
      </c>
      <c r="CH11" s="264">
        <f t="shared" si="38"/>
        <v>-7733152</v>
      </c>
      <c r="CI11" s="264"/>
      <c r="CJ11" s="264">
        <f t="shared" si="39"/>
        <v>24928000</v>
      </c>
      <c r="CK11" s="264">
        <f t="shared" si="40"/>
        <v>0</v>
      </c>
      <c r="CL11" s="264">
        <f t="shared" si="41"/>
        <v>0</v>
      </c>
      <c r="CM11" s="264">
        <f t="shared" si="42"/>
        <v>0</v>
      </c>
      <c r="CN11" s="264">
        <f t="shared" si="43"/>
        <v>0</v>
      </c>
      <c r="CO11" s="264">
        <f t="shared" si="44"/>
        <v>0</v>
      </c>
      <c r="CP11" s="264">
        <f t="shared" si="45"/>
        <v>0</v>
      </c>
      <c r="CQ11" s="264">
        <f t="shared" si="46"/>
        <v>0</v>
      </c>
      <c r="CR11" s="264">
        <f t="shared" si="47"/>
        <v>0</v>
      </c>
      <c r="CS11" s="520"/>
      <c r="CT11" s="521"/>
      <c r="CU11" s="520">
        <f t="shared" si="48"/>
        <v>75</v>
      </c>
      <c r="CV11" s="522">
        <v>1</v>
      </c>
      <c r="CW11" s="522">
        <f>IF(CV11&gt;0.2,0.35,VLOOKUP(CV11,'Density Bonus'!$A$1:$B$15,2,FALSE))</f>
        <v>0.35</v>
      </c>
      <c r="CX11" s="523">
        <f t="shared" si="49"/>
        <v>75.92</v>
      </c>
      <c r="CY11" s="523">
        <f t="shared" si="50"/>
        <v>76</v>
      </c>
      <c r="CZ11" s="347"/>
      <c r="DA11" s="524">
        <f t="shared" si="51"/>
        <v>76</v>
      </c>
      <c r="DB11" s="524">
        <f t="shared" si="52"/>
        <v>0</v>
      </c>
      <c r="DC11" s="525">
        <f t="shared" si="53"/>
        <v>0</v>
      </c>
      <c r="DD11" s="525">
        <f>IF(CV11&lt;0.4,VLOOKUP($AN11,'Impact Fee'!$A$1:$E$10,5,FALSE)*DB11,0)</f>
        <v>0</v>
      </c>
      <c r="DE11" s="525">
        <f t="shared" si="54"/>
        <v>0</v>
      </c>
      <c r="DF11" s="525">
        <f t="shared" si="55"/>
        <v>0</v>
      </c>
      <c r="DG11" s="525">
        <f t="shared" si="56"/>
        <v>7733152</v>
      </c>
      <c r="DH11" s="525">
        <f t="shared" si="57"/>
        <v>0</v>
      </c>
      <c r="DI11" s="525">
        <f t="shared" si="58"/>
        <v>-7733152</v>
      </c>
      <c r="DJ11" s="525">
        <f t="shared" si="59"/>
        <v>0</v>
      </c>
      <c r="DK11" s="525">
        <f t="shared" si="60"/>
        <v>0</v>
      </c>
      <c r="DL11" s="525">
        <f t="shared" si="61"/>
        <v>0</v>
      </c>
      <c r="DM11" s="525">
        <f t="shared" si="62"/>
        <v>0</v>
      </c>
      <c r="DN11" s="525">
        <f t="shared" si="63"/>
        <v>0</v>
      </c>
      <c r="DO11" s="525">
        <f>VLOOKUP($AI11,Funding!$A$1:$G$6,6,FALSE)*DN11</f>
        <v>0</v>
      </c>
      <c r="DP11" s="525">
        <f t="shared" si="64"/>
        <v>0</v>
      </c>
      <c r="DQ11" s="525">
        <f t="shared" si="65"/>
        <v>-7733152</v>
      </c>
      <c r="DR11" s="525">
        <f t="shared" si="66"/>
        <v>-7733152</v>
      </c>
      <c r="DS11" s="525"/>
      <c r="DT11" s="525">
        <f t="shared" si="67"/>
        <v>24928000</v>
      </c>
      <c r="DU11" s="525">
        <f t="shared" si="68"/>
        <v>0</v>
      </c>
      <c r="DV11" s="525">
        <f t="shared" si="69"/>
        <v>0</v>
      </c>
      <c r="DW11" s="525">
        <f t="shared" si="70"/>
        <v>0</v>
      </c>
      <c r="DX11" s="525">
        <f t="shared" si="71"/>
        <v>0</v>
      </c>
      <c r="DY11" s="525">
        <f t="shared" si="72"/>
        <v>0</v>
      </c>
      <c r="DZ11" s="525">
        <f t="shared" si="73"/>
        <v>0</v>
      </c>
      <c r="EA11" s="819"/>
      <c r="EB11" s="820"/>
      <c r="EC11" s="819">
        <f t="shared" si="74"/>
        <v>75</v>
      </c>
      <c r="ED11" s="821">
        <v>0.15</v>
      </c>
      <c r="EE11" s="821">
        <f>IF(ED11&gt;0.2,0.35,VLOOKUP(ED11,'Density Bonus'!$A$1:$B$15,2,FALSE))</f>
        <v>0.27500000000000002</v>
      </c>
      <c r="EF11" s="822">
        <f t="shared" si="75"/>
        <v>75.92</v>
      </c>
      <c r="EG11" s="822">
        <f t="shared" si="76"/>
        <v>76</v>
      </c>
      <c r="EH11" s="823"/>
      <c r="EI11" s="824">
        <f t="shared" si="77"/>
        <v>11</v>
      </c>
      <c r="EJ11" s="824">
        <f t="shared" si="78"/>
        <v>65</v>
      </c>
      <c r="EK11" s="825">
        <f t="shared" si="79"/>
        <v>0</v>
      </c>
      <c r="EL11" s="825">
        <f>IF(ED11&lt;0.4,VLOOKUP($AN11,'Impact Fee'!$A$1:$E$10,5,FALSE)*EJ11,0)</f>
        <v>780000</v>
      </c>
      <c r="EM11" s="825">
        <f t="shared" si="80"/>
        <v>780000</v>
      </c>
      <c r="EN11" s="825">
        <f t="shared" si="81"/>
        <v>2317380</v>
      </c>
      <c r="EO11" s="825">
        <f t="shared" si="82"/>
        <v>2470230.3999999994</v>
      </c>
      <c r="EP11" s="825">
        <f t="shared" si="83"/>
        <v>1933288</v>
      </c>
      <c r="EQ11" s="825">
        <f t="shared" si="84"/>
        <v>-152850.39999999944</v>
      </c>
      <c r="ER11" s="825">
        <f t="shared" si="85"/>
        <v>0</v>
      </c>
      <c r="ES11" s="825">
        <f t="shared" si="86"/>
        <v>0</v>
      </c>
      <c r="ET11" s="825">
        <f t="shared" si="87"/>
        <v>0</v>
      </c>
      <c r="EU11" s="825">
        <f t="shared" si="88"/>
        <v>0</v>
      </c>
      <c r="EV11" s="825">
        <f t="shared" si="89"/>
        <v>0</v>
      </c>
      <c r="EW11" s="825">
        <f>VLOOKUP($AI11,Funding!$A$1:$G$6,6,FALSE)*EV11</f>
        <v>0</v>
      </c>
      <c r="EX11" s="825">
        <f t="shared" si="90"/>
        <v>0</v>
      </c>
      <c r="EY11" s="825">
        <f t="shared" si="91"/>
        <v>-152850.39999999944</v>
      </c>
      <c r="EZ11" s="825">
        <f t="shared" si="92"/>
        <v>-152850.39999999944</v>
      </c>
      <c r="FA11" s="825"/>
      <c r="FB11" s="825">
        <f t="shared" si="93"/>
        <v>24928000</v>
      </c>
      <c r="FC11" s="825">
        <f t="shared" si="94"/>
        <v>0</v>
      </c>
      <c r="FD11" s="825">
        <f t="shared" si="95"/>
        <v>0</v>
      </c>
      <c r="FE11" s="825">
        <f t="shared" si="96"/>
        <v>0</v>
      </c>
      <c r="FF11" s="825">
        <f t="shared" si="97"/>
        <v>0</v>
      </c>
      <c r="FG11" s="825">
        <f t="shared" si="98"/>
        <v>0</v>
      </c>
      <c r="FH11" s="825">
        <f t="shared" si="99"/>
        <v>0</v>
      </c>
      <c r="FI11" s="545"/>
      <c r="FJ11" s="546"/>
      <c r="FK11" s="546"/>
      <c r="FL11" s="545">
        <f t="shared" si="100"/>
        <v>75</v>
      </c>
      <c r="FM11" s="547">
        <v>0.15</v>
      </c>
      <c r="FN11" s="547">
        <f>IF(FM11&gt;0.2,0.35,VLOOKUP(FM11,'Density Bonus'!$A$1:$B$15,2,FALSE))</f>
        <v>0.27500000000000002</v>
      </c>
      <c r="FO11" s="548">
        <f t="shared" si="101"/>
        <v>75.92</v>
      </c>
      <c r="FP11" s="548">
        <f t="shared" si="102"/>
        <v>76</v>
      </c>
      <c r="FQ11" s="347"/>
      <c r="FR11" s="549">
        <f t="shared" si="103"/>
        <v>11</v>
      </c>
      <c r="FS11" s="549">
        <f t="shared" si="104"/>
        <v>65</v>
      </c>
      <c r="FT11" s="550">
        <f t="shared" si="105"/>
        <v>0</v>
      </c>
      <c r="FU11" s="550">
        <f>IF(FM11&lt;0.15,(VLOOKUP($AN11,'Impact Fee'!$A$1:$E$10,5,FALSE)*FS11),0)</f>
        <v>0</v>
      </c>
      <c r="FV11" s="550">
        <f t="shared" si="106"/>
        <v>0</v>
      </c>
      <c r="FW11" s="550">
        <f t="shared" si="107"/>
        <v>1537380</v>
      </c>
      <c r="FX11" s="550">
        <f t="shared" si="108"/>
        <v>2470230.3999999994</v>
      </c>
      <c r="FY11" s="550">
        <f t="shared" si="109"/>
        <v>0</v>
      </c>
      <c r="FZ11" s="550">
        <f t="shared" si="110"/>
        <v>0</v>
      </c>
      <c r="GA11" s="550">
        <f>VLOOKUP($AI11,Funding!$A$1:$G$6,3,FALSE)*FZ11</f>
        <v>0</v>
      </c>
      <c r="GB11" s="550">
        <f t="shared" si="111"/>
        <v>0</v>
      </c>
      <c r="GC11" s="550">
        <f t="shared" si="112"/>
        <v>-932850.39999999944</v>
      </c>
      <c r="GD11" s="550">
        <f t="shared" si="113"/>
        <v>-932850.39999999944</v>
      </c>
      <c r="GE11" s="550"/>
      <c r="GF11" s="550">
        <f t="shared" si="114"/>
        <v>24928000</v>
      </c>
      <c r="GG11" s="550">
        <f t="shared" si="115"/>
        <v>0</v>
      </c>
      <c r="GH11" s="550">
        <f t="shared" si="116"/>
        <v>0</v>
      </c>
      <c r="GI11" s="550">
        <f t="shared" si="117"/>
        <v>0</v>
      </c>
      <c r="GJ11" s="550">
        <f t="shared" si="118"/>
        <v>0</v>
      </c>
      <c r="GK11" s="550">
        <f t="shared" si="119"/>
        <v>0</v>
      </c>
      <c r="GL11" s="550">
        <f t="shared" si="120"/>
        <v>0</v>
      </c>
      <c r="GM11" s="550">
        <f t="shared" si="121"/>
        <v>0</v>
      </c>
      <c r="GN11" s="550">
        <f t="shared" si="122"/>
        <v>0</v>
      </c>
      <c r="GO11" s="199"/>
      <c r="GP11" s="275"/>
      <c r="GQ11" s="199">
        <f t="shared" si="123"/>
        <v>75</v>
      </c>
      <c r="GR11" s="34">
        <v>1</v>
      </c>
      <c r="GS11" s="34">
        <f>IF(GR11&gt;0.2,0.35,VLOOKUP(GR11,'Density Bonus'!$A$1:$B$15,2,FALSE))</f>
        <v>0.35</v>
      </c>
      <c r="GT11" s="235">
        <f t="shared" si="124"/>
        <v>75.92</v>
      </c>
      <c r="GU11" s="235">
        <f t="shared" si="125"/>
        <v>76</v>
      </c>
      <c r="GV11" s="347"/>
      <c r="GW11" s="31">
        <f t="shared" si="126"/>
        <v>76</v>
      </c>
      <c r="GX11" s="31">
        <f t="shared" si="127"/>
        <v>0</v>
      </c>
      <c r="GY11" s="196" t="str">
        <f t="shared" si="128"/>
        <v/>
      </c>
      <c r="GZ11" s="238">
        <f t="shared" si="129"/>
        <v>0</v>
      </c>
      <c r="HA11" s="238">
        <f t="shared" si="130"/>
        <v>0</v>
      </c>
      <c r="HB11" s="238">
        <f t="shared" si="131"/>
        <v>0</v>
      </c>
      <c r="HC11" s="238">
        <f t="shared" si="224"/>
        <v>0</v>
      </c>
      <c r="HD11" s="238">
        <f>VLOOKUP($AI11,Funding!$A$1:$G$6,7,FALSE)*HC11</f>
        <v>0</v>
      </c>
      <c r="HE11" s="238">
        <f t="shared" si="225"/>
        <v>0</v>
      </c>
      <c r="HF11" s="238">
        <f t="shared" si="226"/>
        <v>-7733152</v>
      </c>
      <c r="HG11" s="238">
        <f t="shared" si="132"/>
        <v>-7733152</v>
      </c>
      <c r="HH11" s="238"/>
      <c r="HI11" s="238">
        <f t="shared" si="133"/>
        <v>24928000</v>
      </c>
      <c r="HJ11" s="238">
        <f t="shared" si="134"/>
        <v>0</v>
      </c>
      <c r="HK11" s="238">
        <f t="shared" si="135"/>
        <v>0</v>
      </c>
      <c r="HL11" s="238">
        <f t="shared" si="136"/>
        <v>0</v>
      </c>
      <c r="HM11" s="238">
        <f t="shared" si="137"/>
        <v>0</v>
      </c>
      <c r="HN11" s="238">
        <f t="shared" si="138"/>
        <v>0</v>
      </c>
      <c r="HO11" s="238">
        <f t="shared" si="139"/>
        <v>0</v>
      </c>
      <c r="HP11" s="397"/>
      <c r="HQ11" s="424"/>
      <c r="HR11" s="426">
        <f t="shared" si="140"/>
        <v>1537380</v>
      </c>
      <c r="HS11" s="425">
        <f t="shared" si="141"/>
        <v>0</v>
      </c>
      <c r="HT11" s="425">
        <f t="shared" si="142"/>
        <v>75</v>
      </c>
      <c r="HU11" s="429">
        <f t="shared" si="143"/>
        <v>0</v>
      </c>
      <c r="HV11" s="429">
        <f t="shared" si="143"/>
        <v>0</v>
      </c>
      <c r="HW11" s="429">
        <f t="shared" si="143"/>
        <v>0</v>
      </c>
      <c r="HX11" s="429">
        <f t="shared" si="143"/>
        <v>0</v>
      </c>
      <c r="HY11" s="429">
        <f t="shared" si="143"/>
        <v>0</v>
      </c>
      <c r="HZ11" s="426">
        <f t="shared" si="144"/>
        <v>328000</v>
      </c>
      <c r="IA11" s="426"/>
      <c r="IB11" s="426"/>
      <c r="IC11" s="425"/>
      <c r="ID11" s="425"/>
      <c r="IE11" s="425"/>
      <c r="IF11" s="427">
        <f>((HR11+(HT11*HZ11)+(HU11*IA11)+(HV11*IB11)+(HW11*IC11)+(HX11*ID11))*0.01*0.29)</f>
        <v>75798.402000000002</v>
      </c>
      <c r="IG11" s="428">
        <f t="shared" si="145"/>
        <v>43466.462940000012</v>
      </c>
      <c r="IH11" s="428">
        <f t="shared" si="146"/>
        <v>0</v>
      </c>
      <c r="II11" s="428">
        <f t="shared" si="147"/>
        <v>31704.513750000002</v>
      </c>
      <c r="IJ11" s="428">
        <f t="shared" si="148"/>
        <v>0</v>
      </c>
      <c r="IK11" s="428">
        <f t="shared" si="149"/>
        <v>150969.37869000001</v>
      </c>
      <c r="IL11" s="429">
        <f t="shared" si="150"/>
        <v>0</v>
      </c>
      <c r="IM11" s="427">
        <f>Sites!AG11</f>
        <v>1537380</v>
      </c>
      <c r="IN11" s="428">
        <f t="shared" si="151"/>
        <v>23060.7</v>
      </c>
      <c r="IO11" s="429">
        <f t="shared" si="152"/>
        <v>123</v>
      </c>
      <c r="IP11" s="426">
        <f t="shared" si="153"/>
        <v>5445664.742670225</v>
      </c>
      <c r="IQ11" s="426">
        <f t="shared" si="154"/>
        <v>2921581.1610557721</v>
      </c>
      <c r="IR11" s="430">
        <v>2023</v>
      </c>
      <c r="IS11" s="431"/>
      <c r="IT11" s="431"/>
      <c r="IU11" s="431"/>
      <c r="IV11" s="431"/>
      <c r="IW11" s="428"/>
      <c r="IX11" s="428"/>
      <c r="IY11" s="428">
        <f>IY$4*$IK11</f>
        <v>170016.04074031339</v>
      </c>
      <c r="IZ11" s="428">
        <f t="shared" si="155"/>
        <v>173416.36155511963</v>
      </c>
      <c r="JA11" s="428">
        <f t="shared" si="155"/>
        <v>176884.68878622202</v>
      </c>
      <c r="JB11" s="428">
        <f t="shared" si="155"/>
        <v>180422.38256194646</v>
      </c>
      <c r="JC11" s="428">
        <f t="shared" si="155"/>
        <v>184030.8302131854</v>
      </c>
      <c r="JD11" s="428">
        <f t="shared" si="155"/>
        <v>187711.44681744909</v>
      </c>
      <c r="JE11" s="428">
        <f t="shared" si="155"/>
        <v>191465.6757537981</v>
      </c>
      <c r="JF11" s="428">
        <f t="shared" si="155"/>
        <v>195294.98926887405</v>
      </c>
      <c r="JG11" s="428">
        <f t="shared" si="155"/>
        <v>199200.88905425154</v>
      </c>
      <c r="JH11" s="428">
        <f t="shared" si="155"/>
        <v>203184.90683533653</v>
      </c>
      <c r="JI11" s="428">
        <f t="shared" si="155"/>
        <v>207248.60497204328</v>
      </c>
      <c r="JJ11" s="428">
        <f t="shared" si="156"/>
        <v>211393.57707148418</v>
      </c>
      <c r="JK11" s="428">
        <f t="shared" si="156"/>
        <v>215621.44861291384</v>
      </c>
      <c r="JL11" s="428">
        <f t="shared" si="156"/>
        <v>219933.8775851721</v>
      </c>
      <c r="JM11" s="428">
        <f t="shared" si="156"/>
        <v>224332.55513687557</v>
      </c>
      <c r="JN11" s="428">
        <f t="shared" si="156"/>
        <v>228819.20623961306</v>
      </c>
      <c r="JO11" s="428">
        <f t="shared" si="156"/>
        <v>233395.59036440533</v>
      </c>
      <c r="JP11" s="428">
        <f t="shared" si="156"/>
        <v>238063.5021716934</v>
      </c>
      <c r="JQ11" s="428">
        <f t="shared" si="156"/>
        <v>242824.77221512728</v>
      </c>
      <c r="JR11" s="428">
        <f t="shared" si="156"/>
        <v>247681.26765942981</v>
      </c>
      <c r="JS11" s="428">
        <f t="shared" si="156"/>
        <v>252634.89301261844</v>
      </c>
      <c r="JT11" s="428">
        <f t="shared" si="156"/>
        <v>257687.59087287076</v>
      </c>
      <c r="JU11" s="428">
        <f t="shared" si="156"/>
        <v>262841.34269032825</v>
      </c>
      <c r="JV11" s="428">
        <f t="shared" si="156"/>
        <v>268098.16954413475</v>
      </c>
      <c r="JW11" s="428">
        <f t="shared" si="156"/>
        <v>273460.13293501746</v>
      </c>
      <c r="JX11" s="432"/>
      <c r="JY11" s="435">
        <f t="shared" si="157"/>
        <v>76</v>
      </c>
      <c r="JZ11" s="435">
        <f t="shared" si="158"/>
        <v>0</v>
      </c>
      <c r="KA11" s="435">
        <f t="shared" si="159"/>
        <v>0</v>
      </c>
      <c r="KB11" s="435">
        <f t="shared" si="160"/>
        <v>0</v>
      </c>
      <c r="KC11" s="435">
        <f t="shared" si="161"/>
        <v>0</v>
      </c>
      <c r="KD11" s="435">
        <f t="shared" si="162"/>
        <v>0</v>
      </c>
      <c r="KE11" s="435">
        <f t="shared" si="163"/>
        <v>0</v>
      </c>
      <c r="KF11" s="432">
        <f t="shared" si="164"/>
        <v>328000</v>
      </c>
      <c r="KG11" s="445">
        <f t="shared" si="165"/>
        <v>0</v>
      </c>
      <c r="KH11" s="445">
        <f t="shared" si="166"/>
        <v>0</v>
      </c>
      <c r="KI11" s="445">
        <f t="shared" si="167"/>
        <v>0</v>
      </c>
      <c r="KJ11" s="445">
        <f t="shared" si="168"/>
        <v>0</v>
      </c>
      <c r="KK11" s="445">
        <f t="shared" si="169"/>
        <v>0</v>
      </c>
      <c r="KL11" s="434">
        <v>0</v>
      </c>
      <c r="KM11" s="432">
        <f t="shared" si="170"/>
        <v>0</v>
      </c>
      <c r="KN11" s="432">
        <f t="shared" si="171"/>
        <v>0</v>
      </c>
      <c r="KO11" s="432">
        <f t="shared" si="172"/>
        <v>0</v>
      </c>
      <c r="KP11" s="432">
        <f t="shared" si="173"/>
        <v>0</v>
      </c>
      <c r="KQ11" s="432">
        <f t="shared" si="174"/>
        <v>0</v>
      </c>
      <c r="KR11" s="435">
        <f t="shared" si="175"/>
        <v>0</v>
      </c>
      <c r="KS11" s="434">
        <f t="shared" si="176"/>
        <v>0</v>
      </c>
      <c r="KT11" s="432">
        <f t="shared" si="177"/>
        <v>0</v>
      </c>
      <c r="KU11" s="435">
        <f t="shared" si="178"/>
        <v>124.64</v>
      </c>
      <c r="KV11" s="433">
        <f t="shared" si="179"/>
        <v>0</v>
      </c>
      <c r="KW11" s="433">
        <f t="shared" si="180"/>
        <v>0</v>
      </c>
      <c r="KX11" s="436">
        <f t="shared" si="181"/>
        <v>2023</v>
      </c>
      <c r="KY11" s="411"/>
      <c r="KZ11" s="411"/>
      <c r="LA11" s="411"/>
      <c r="LB11" s="411"/>
      <c r="LC11" s="411"/>
      <c r="LD11" s="411"/>
      <c r="LE11" s="446">
        <f>LE$4*$KQ11</f>
        <v>0</v>
      </c>
      <c r="LF11" s="446">
        <f t="shared" si="182"/>
        <v>0</v>
      </c>
      <c r="LG11" s="446">
        <f t="shared" si="182"/>
        <v>0</v>
      </c>
      <c r="LH11" s="446">
        <f t="shared" si="182"/>
        <v>0</v>
      </c>
      <c r="LI11" s="446">
        <f t="shared" si="182"/>
        <v>0</v>
      </c>
      <c r="LJ11" s="446">
        <f t="shared" si="182"/>
        <v>0</v>
      </c>
      <c r="LK11" s="446">
        <f t="shared" si="182"/>
        <v>0</v>
      </c>
      <c r="LL11" s="446">
        <f t="shared" si="182"/>
        <v>0</v>
      </c>
      <c r="LM11" s="446">
        <f t="shared" si="182"/>
        <v>0</v>
      </c>
      <c r="LN11" s="446">
        <f t="shared" si="182"/>
        <v>0</v>
      </c>
      <c r="LO11" s="446">
        <f t="shared" si="182"/>
        <v>0</v>
      </c>
      <c r="LP11" s="446">
        <f t="shared" si="183"/>
        <v>0</v>
      </c>
      <c r="LQ11" s="446">
        <f t="shared" si="183"/>
        <v>0</v>
      </c>
      <c r="LR11" s="446">
        <f t="shared" si="183"/>
        <v>0</v>
      </c>
      <c r="LS11" s="446">
        <f t="shared" si="183"/>
        <v>0</v>
      </c>
      <c r="LT11" s="446">
        <f t="shared" si="183"/>
        <v>0</v>
      </c>
      <c r="LU11" s="446">
        <f t="shared" si="183"/>
        <v>0</v>
      </c>
      <c r="LV11" s="446">
        <f t="shared" si="183"/>
        <v>0</v>
      </c>
      <c r="LW11" s="446">
        <f t="shared" si="183"/>
        <v>0</v>
      </c>
      <c r="LX11" s="446">
        <f t="shared" si="183"/>
        <v>0</v>
      </c>
      <c r="LY11" s="446">
        <f t="shared" si="183"/>
        <v>0</v>
      </c>
      <c r="LZ11" s="446">
        <f t="shared" si="183"/>
        <v>0</v>
      </c>
      <c r="MA11" s="446">
        <f t="shared" si="183"/>
        <v>0</v>
      </c>
      <c r="MB11" s="446">
        <f t="shared" si="183"/>
        <v>0</v>
      </c>
      <c r="MC11" s="446">
        <f t="shared" si="183"/>
        <v>0</v>
      </c>
      <c r="MD11" s="496"/>
      <c r="ME11" s="497">
        <f t="shared" si="184"/>
        <v>0</v>
      </c>
      <c r="MF11" s="497">
        <f t="shared" si="185"/>
        <v>0</v>
      </c>
      <c r="MG11" s="497">
        <f t="shared" si="186"/>
        <v>0</v>
      </c>
      <c r="MH11" s="497">
        <f t="shared" si="187"/>
        <v>0</v>
      </c>
      <c r="MI11" s="497">
        <f t="shared" si="188"/>
        <v>0</v>
      </c>
      <c r="MJ11" s="498">
        <f t="shared" si="189"/>
        <v>0</v>
      </c>
      <c r="MK11" s="498">
        <f t="shared" si="190"/>
        <v>0</v>
      </c>
      <c r="ML11" s="498">
        <f t="shared" si="191"/>
        <v>0</v>
      </c>
      <c r="MM11" s="498">
        <f t="shared" si="192"/>
        <v>0</v>
      </c>
      <c r="MN11" s="498">
        <f t="shared" si="193"/>
        <v>0</v>
      </c>
      <c r="MO11" s="454"/>
      <c r="MP11" s="448">
        <f t="shared" si="194"/>
        <v>76</v>
      </c>
      <c r="MQ11" s="448">
        <f t="shared" si="195"/>
        <v>0</v>
      </c>
      <c r="MR11" s="448">
        <f t="shared" si="196"/>
        <v>0</v>
      </c>
      <c r="MS11" s="448">
        <f t="shared" si="197"/>
        <v>0</v>
      </c>
      <c r="MT11" s="448">
        <f t="shared" si="198"/>
        <v>0</v>
      </c>
      <c r="MU11" s="448">
        <f t="shared" si="199"/>
        <v>0</v>
      </c>
      <c r="MV11" s="448">
        <f t="shared" si="200"/>
        <v>0</v>
      </c>
      <c r="MW11" s="450">
        <f t="shared" si="201"/>
        <v>328000</v>
      </c>
      <c r="MX11" s="450">
        <f t="shared" si="202"/>
        <v>0</v>
      </c>
      <c r="MY11" s="450">
        <f t="shared" si="203"/>
        <v>0</v>
      </c>
      <c r="MZ11" s="450">
        <f t="shared" si="204"/>
        <v>0</v>
      </c>
      <c r="NA11" s="450">
        <f t="shared" si="205"/>
        <v>0</v>
      </c>
      <c r="NB11" s="450">
        <f t="shared" si="206"/>
        <v>0</v>
      </c>
      <c r="NC11" s="451">
        <f t="shared" si="207"/>
        <v>0</v>
      </c>
      <c r="ND11" s="449">
        <f t="shared" si="208"/>
        <v>0</v>
      </c>
      <c r="NE11" s="449">
        <f t="shared" si="209"/>
        <v>0</v>
      </c>
      <c r="NF11" s="449">
        <f t="shared" si="210"/>
        <v>0</v>
      </c>
      <c r="NG11" s="449">
        <f t="shared" si="211"/>
        <v>0</v>
      </c>
      <c r="NH11" s="449">
        <f t="shared" si="212"/>
        <v>0</v>
      </c>
      <c r="NI11" s="448">
        <f t="shared" si="213"/>
        <v>0</v>
      </c>
      <c r="NJ11" s="451">
        <f t="shared" si="214"/>
        <v>0</v>
      </c>
      <c r="NK11" s="449">
        <f t="shared" si="215"/>
        <v>0</v>
      </c>
      <c r="NL11" s="448">
        <f t="shared" si="216"/>
        <v>124.64</v>
      </c>
      <c r="NM11" s="452">
        <f t="shared" si="217"/>
        <v>0</v>
      </c>
      <c r="NN11" s="452">
        <f t="shared" si="218"/>
        <v>0</v>
      </c>
      <c r="NO11" s="453">
        <f t="shared" si="219"/>
        <v>2023</v>
      </c>
      <c r="NP11" s="423"/>
      <c r="NQ11" s="423"/>
      <c r="NR11" s="423"/>
      <c r="NS11" s="423"/>
      <c r="NT11" s="423"/>
      <c r="NU11" s="423"/>
      <c r="NV11" s="454">
        <f>NV$4*$NH11</f>
        <v>0</v>
      </c>
      <c r="NW11" s="454">
        <f t="shared" si="220"/>
        <v>0</v>
      </c>
      <c r="NX11" s="454">
        <f t="shared" si="220"/>
        <v>0</v>
      </c>
      <c r="NY11" s="454">
        <f t="shared" si="220"/>
        <v>0</v>
      </c>
      <c r="NZ11" s="454">
        <f t="shared" si="220"/>
        <v>0</v>
      </c>
      <c r="OA11" s="454">
        <f t="shared" si="220"/>
        <v>0</v>
      </c>
      <c r="OB11" s="454">
        <f t="shared" si="220"/>
        <v>0</v>
      </c>
      <c r="OC11" s="454">
        <f t="shared" si="220"/>
        <v>0</v>
      </c>
      <c r="OD11" s="454">
        <f t="shared" si="220"/>
        <v>0</v>
      </c>
      <c r="OE11" s="454">
        <f t="shared" si="220"/>
        <v>0</v>
      </c>
      <c r="OF11" s="454">
        <f t="shared" si="220"/>
        <v>0</v>
      </c>
      <c r="OG11" s="454">
        <f t="shared" si="221"/>
        <v>0</v>
      </c>
      <c r="OH11" s="454">
        <f t="shared" si="221"/>
        <v>0</v>
      </c>
      <c r="OI11" s="454">
        <f t="shared" si="221"/>
        <v>0</v>
      </c>
      <c r="OJ11" s="454">
        <f t="shared" si="221"/>
        <v>0</v>
      </c>
      <c r="OK11" s="454">
        <f t="shared" si="221"/>
        <v>0</v>
      </c>
      <c r="OL11" s="454">
        <f t="shared" si="221"/>
        <v>0</v>
      </c>
      <c r="OM11" s="454">
        <f t="shared" si="221"/>
        <v>0</v>
      </c>
      <c r="ON11" s="454">
        <f t="shared" si="221"/>
        <v>0</v>
      </c>
      <c r="OO11" s="454">
        <f t="shared" si="221"/>
        <v>0</v>
      </c>
      <c r="OP11" s="454">
        <f t="shared" si="221"/>
        <v>0</v>
      </c>
      <c r="OQ11" s="454">
        <f t="shared" si="221"/>
        <v>0</v>
      </c>
      <c r="OR11" s="454">
        <f t="shared" si="221"/>
        <v>0</v>
      </c>
      <c r="OS11" s="454">
        <f t="shared" si="221"/>
        <v>0</v>
      </c>
      <c r="OT11" s="454">
        <f t="shared" si="221"/>
        <v>0</v>
      </c>
    </row>
    <row r="12" spans="1:410" s="11" customFormat="1" ht="30">
      <c r="A12" s="19" t="s">
        <v>23</v>
      </c>
      <c r="B12" s="19" t="s">
        <v>24</v>
      </c>
      <c r="C12" s="19" t="s">
        <v>430</v>
      </c>
      <c r="D12" s="19">
        <v>2</v>
      </c>
      <c r="E12" s="19" t="s">
        <v>293</v>
      </c>
      <c r="F12" s="19" t="s">
        <v>420</v>
      </c>
      <c r="G12" s="23">
        <v>25</v>
      </c>
      <c r="H12" s="23"/>
      <c r="I12" s="442">
        <v>5435</v>
      </c>
      <c r="J12" s="20"/>
      <c r="K12" s="20"/>
      <c r="L12" s="20"/>
      <c r="M12" s="20"/>
      <c r="N12" s="20"/>
      <c r="O12" s="442">
        <f t="shared" si="3"/>
        <v>0</v>
      </c>
      <c r="P12" s="21"/>
      <c r="Q12" s="21" t="s">
        <v>47</v>
      </c>
      <c r="R12" s="27">
        <f t="shared" si="4"/>
        <v>19.763636363636362</v>
      </c>
      <c r="S12" s="27">
        <v>4</v>
      </c>
      <c r="T12" s="27">
        <f>I12*S12</f>
        <v>21740</v>
      </c>
      <c r="U12" s="21">
        <v>75</v>
      </c>
      <c r="V12" s="19" t="s">
        <v>29</v>
      </c>
      <c r="W12" s="22" t="s">
        <v>26</v>
      </c>
      <c r="X12" s="19" t="s">
        <v>37</v>
      </c>
      <c r="Y12" s="19"/>
      <c r="Z12" s="19" t="s">
        <v>15</v>
      </c>
      <c r="AA12" s="219" t="s">
        <v>94</v>
      </c>
      <c r="AB12" s="219" t="s">
        <v>80</v>
      </c>
      <c r="AC12" s="224">
        <v>75</v>
      </c>
      <c r="AD12" s="224">
        <f t="shared" si="5"/>
        <v>407625</v>
      </c>
      <c r="AE12" s="24"/>
      <c r="AF12" s="273"/>
      <c r="AG12" s="220">
        <f t="shared" si="6"/>
        <v>407625</v>
      </c>
      <c r="AH12" s="220">
        <f t="shared" si="7"/>
        <v>407625</v>
      </c>
      <c r="AI12" s="24" t="s">
        <v>248</v>
      </c>
      <c r="AJ12" s="228">
        <f>VLOOKUP($Q12,'Zoning Density'!$A$1:$E$28,3,)</f>
        <v>275</v>
      </c>
      <c r="AK12" s="228">
        <f t="shared" si="8"/>
        <v>450</v>
      </c>
      <c r="AL12" s="229">
        <f t="shared" si="9"/>
        <v>19.763636363636362</v>
      </c>
      <c r="AM12" s="229">
        <f t="shared" si="10"/>
        <v>12.077777777777778</v>
      </c>
      <c r="AN12" s="228">
        <v>3</v>
      </c>
      <c r="AO12" s="221">
        <f>VLOOKUP($AI12,Funding!$A$1:$G$6,3,FALSE)*$AG12</f>
        <v>0</v>
      </c>
      <c r="AP12" s="221">
        <f>VLOOKUP($AI12,Funding!$A$1:$G$6,4,FALSE)*$AG12</f>
        <v>407625</v>
      </c>
      <c r="AQ12" s="351"/>
      <c r="AR12" s="274"/>
      <c r="AS12" s="222">
        <f t="shared" si="11"/>
        <v>12</v>
      </c>
      <c r="AT12" s="222"/>
      <c r="AU12" s="222">
        <f t="shared" si="12"/>
        <v>12</v>
      </c>
      <c r="AV12" s="221">
        <f>VLOOKUP($AN12,'Impact Fee'!$A$1:$E$20,5,FALSE)*AU12</f>
        <v>144000</v>
      </c>
      <c r="AW12" s="221">
        <f t="shared" si="13"/>
        <v>0</v>
      </c>
      <c r="AX12" s="221"/>
      <c r="AY12" s="321"/>
      <c r="AZ12" s="221">
        <f t="shared" si="14"/>
        <v>144000</v>
      </c>
      <c r="BA12" s="221">
        <f t="shared" si="15"/>
        <v>144000</v>
      </c>
      <c r="BB12" s="221">
        <f t="shared" si="16"/>
        <v>551625</v>
      </c>
      <c r="BC12" s="271">
        <f t="shared" si="222"/>
        <v>1.1519999999999999</v>
      </c>
      <c r="BD12" s="271">
        <f t="shared" si="223"/>
        <v>4.4130000000000003</v>
      </c>
      <c r="BE12" s="271"/>
      <c r="BF12" s="221">
        <f t="shared" si="17"/>
        <v>3936000</v>
      </c>
      <c r="BG12" s="221">
        <f t="shared" si="18"/>
        <v>0</v>
      </c>
      <c r="BH12" s="221">
        <f t="shared" si="19"/>
        <v>0</v>
      </c>
      <c r="BI12" s="221">
        <f t="shared" si="20"/>
        <v>0</v>
      </c>
      <c r="BJ12" s="221">
        <f t="shared" si="21"/>
        <v>0</v>
      </c>
      <c r="BK12" s="221">
        <f t="shared" si="22"/>
        <v>0</v>
      </c>
      <c r="BL12" s="221">
        <f t="shared" si="23"/>
        <v>0</v>
      </c>
      <c r="BM12" s="221">
        <f t="shared" si="24"/>
        <v>0</v>
      </c>
      <c r="BN12" s="259"/>
      <c r="BO12" s="260"/>
      <c r="BP12" s="259">
        <f t="shared" si="25"/>
        <v>12</v>
      </c>
      <c r="BQ12" s="261">
        <v>1</v>
      </c>
      <c r="BR12" s="261">
        <f>IF(BQ12&gt;0.2,0.35,VLOOKUP(BQ12,'Density Bonus'!$A$1:$B$15,2,FALSE))</f>
        <v>0.35</v>
      </c>
      <c r="BS12" s="262">
        <f t="shared" si="26"/>
        <v>12.077777777777778</v>
      </c>
      <c r="BT12" s="262">
        <f t="shared" si="27"/>
        <v>13</v>
      </c>
      <c r="BU12" s="349"/>
      <c r="BV12" s="263">
        <f t="shared" si="28"/>
        <v>13</v>
      </c>
      <c r="BW12" s="263">
        <f t="shared" si="29"/>
        <v>0</v>
      </c>
      <c r="BX12" s="264">
        <f t="shared" si="30"/>
        <v>0</v>
      </c>
      <c r="BY12" s="264">
        <f>IF(BQ12&lt;0.15,(VLOOKUP($AN12,'Impact Fee'!$A$1:$E$10,5,FALSE)*BW12),0)</f>
        <v>0</v>
      </c>
      <c r="BZ12" s="264">
        <f t="shared" si="31"/>
        <v>0</v>
      </c>
      <c r="CA12" s="264">
        <f t="shared" si="32"/>
        <v>0</v>
      </c>
      <c r="CB12" s="264">
        <f t="shared" si="33"/>
        <v>0</v>
      </c>
      <c r="CC12" s="264">
        <f t="shared" si="34"/>
        <v>0</v>
      </c>
      <c r="CD12" s="264">
        <f t="shared" si="35"/>
        <v>0</v>
      </c>
      <c r="CE12" s="264">
        <f>CD12*IF(F12="Commercial",CE$3,VLOOKUP($AI12,Funding!$A$1:$G$6,5,FALSE))</f>
        <v>0</v>
      </c>
      <c r="CF12" s="264">
        <f t="shared" si="36"/>
        <v>0</v>
      </c>
      <c r="CG12" s="264">
        <f t="shared" si="37"/>
        <v>-1322776</v>
      </c>
      <c r="CH12" s="264">
        <f t="shared" si="38"/>
        <v>-1322776</v>
      </c>
      <c r="CI12" s="264"/>
      <c r="CJ12" s="264">
        <f t="shared" si="39"/>
        <v>4264000</v>
      </c>
      <c r="CK12" s="264">
        <f t="shared" si="40"/>
        <v>0</v>
      </c>
      <c r="CL12" s="264">
        <f t="shared" si="41"/>
        <v>0</v>
      </c>
      <c r="CM12" s="264">
        <f t="shared" si="42"/>
        <v>0</v>
      </c>
      <c r="CN12" s="264">
        <f t="shared" si="43"/>
        <v>0</v>
      </c>
      <c r="CO12" s="264">
        <f t="shared" si="44"/>
        <v>0</v>
      </c>
      <c r="CP12" s="264">
        <f t="shared" si="45"/>
        <v>0</v>
      </c>
      <c r="CQ12" s="264">
        <f t="shared" si="46"/>
        <v>0</v>
      </c>
      <c r="CR12" s="264">
        <f t="shared" si="47"/>
        <v>0</v>
      </c>
      <c r="CS12" s="520"/>
      <c r="CT12" s="521"/>
      <c r="CU12" s="520">
        <f t="shared" si="48"/>
        <v>12</v>
      </c>
      <c r="CV12" s="522">
        <v>0.15</v>
      </c>
      <c r="CW12" s="522">
        <f>IF(CV12&gt;0.2,0.35,VLOOKUP(CV12,'Density Bonus'!$A$1:$B$15,2,FALSE))</f>
        <v>0.27500000000000002</v>
      </c>
      <c r="CX12" s="523">
        <f t="shared" si="49"/>
        <v>12.077777777777778</v>
      </c>
      <c r="CY12" s="523">
        <f t="shared" si="50"/>
        <v>13</v>
      </c>
      <c r="CZ12" s="347"/>
      <c r="DA12" s="524">
        <f t="shared" si="51"/>
        <v>2</v>
      </c>
      <c r="DB12" s="524">
        <f t="shared" si="52"/>
        <v>11</v>
      </c>
      <c r="DC12" s="525">
        <f t="shared" si="53"/>
        <v>0</v>
      </c>
      <c r="DD12" s="525">
        <f>IF(CV12&lt;0.4,VLOOKUP($AN12,'Impact Fee'!$A$1:$E$10,5,FALSE)*DB12,0)</f>
        <v>132000</v>
      </c>
      <c r="DE12" s="525">
        <f t="shared" si="54"/>
        <v>132000</v>
      </c>
      <c r="DF12" s="525">
        <f t="shared" si="55"/>
        <v>539625</v>
      </c>
      <c r="DG12" s="525">
        <f t="shared" si="56"/>
        <v>449132.79999999993</v>
      </c>
      <c r="DH12" s="525">
        <f t="shared" si="57"/>
        <v>330694</v>
      </c>
      <c r="DI12" s="525">
        <f t="shared" si="58"/>
        <v>90492.20000000007</v>
      </c>
      <c r="DJ12" s="525">
        <f t="shared" si="59"/>
        <v>90492.20000000007</v>
      </c>
      <c r="DK12" s="525">
        <f t="shared" si="60"/>
        <v>0</v>
      </c>
      <c r="DL12" s="525">
        <f t="shared" si="61"/>
        <v>0</v>
      </c>
      <c r="DM12" s="525">
        <f t="shared" si="62"/>
        <v>0</v>
      </c>
      <c r="DN12" s="525">
        <f t="shared" si="63"/>
        <v>0</v>
      </c>
      <c r="DO12" s="525">
        <f>VLOOKUP($AI12,Funding!$A$1:$G$6,6,FALSE)*DN12</f>
        <v>0</v>
      </c>
      <c r="DP12" s="525">
        <f t="shared" si="64"/>
        <v>90492.20000000007</v>
      </c>
      <c r="DQ12" s="525">
        <f t="shared" si="65"/>
        <v>0</v>
      </c>
      <c r="DR12" s="525">
        <f t="shared" si="66"/>
        <v>90492.20000000007</v>
      </c>
      <c r="DS12" s="525"/>
      <c r="DT12" s="525">
        <f t="shared" si="67"/>
        <v>4264000</v>
      </c>
      <c r="DU12" s="525">
        <f t="shared" si="68"/>
        <v>0</v>
      </c>
      <c r="DV12" s="525">
        <f t="shared" si="69"/>
        <v>0</v>
      </c>
      <c r="DW12" s="525">
        <f t="shared" si="70"/>
        <v>0</v>
      </c>
      <c r="DX12" s="525">
        <f t="shared" si="71"/>
        <v>0</v>
      </c>
      <c r="DY12" s="525">
        <f t="shared" si="72"/>
        <v>0</v>
      </c>
      <c r="DZ12" s="525">
        <f t="shared" si="73"/>
        <v>0</v>
      </c>
      <c r="EA12" s="819"/>
      <c r="EB12" s="820"/>
      <c r="EC12" s="819">
        <f t="shared" si="74"/>
        <v>12</v>
      </c>
      <c r="ED12" s="821">
        <v>0.15</v>
      </c>
      <c r="EE12" s="821">
        <f>IF(ED12&gt;0.2,0.35,VLOOKUP(ED12,'Density Bonus'!$A$1:$B$15,2,FALSE))</f>
        <v>0.27500000000000002</v>
      </c>
      <c r="EF12" s="822">
        <f t="shared" si="75"/>
        <v>12.077777777777778</v>
      </c>
      <c r="EG12" s="822">
        <f t="shared" si="76"/>
        <v>13</v>
      </c>
      <c r="EH12" s="823"/>
      <c r="EI12" s="824">
        <f t="shared" si="77"/>
        <v>2</v>
      </c>
      <c r="EJ12" s="824">
        <f t="shared" si="78"/>
        <v>11</v>
      </c>
      <c r="EK12" s="825">
        <f t="shared" si="79"/>
        <v>0</v>
      </c>
      <c r="EL12" s="825">
        <f>IF(ED12&lt;0.4,VLOOKUP($AN12,'Impact Fee'!$A$1:$E$10,5,FALSE)*EJ12,0)</f>
        <v>132000</v>
      </c>
      <c r="EM12" s="825">
        <f t="shared" si="80"/>
        <v>132000</v>
      </c>
      <c r="EN12" s="825">
        <f t="shared" si="81"/>
        <v>539625</v>
      </c>
      <c r="EO12" s="825">
        <f t="shared" si="82"/>
        <v>449132.79999999993</v>
      </c>
      <c r="EP12" s="825">
        <f t="shared" si="83"/>
        <v>330694</v>
      </c>
      <c r="EQ12" s="825">
        <f t="shared" si="84"/>
        <v>90492.20000000007</v>
      </c>
      <c r="ER12" s="825">
        <f t="shared" si="85"/>
        <v>90492.20000000007</v>
      </c>
      <c r="ES12" s="825">
        <f t="shared" si="86"/>
        <v>0</v>
      </c>
      <c r="ET12" s="825">
        <f t="shared" si="87"/>
        <v>0</v>
      </c>
      <c r="EU12" s="825">
        <f t="shared" si="88"/>
        <v>0</v>
      </c>
      <c r="EV12" s="825">
        <f t="shared" si="89"/>
        <v>0</v>
      </c>
      <c r="EW12" s="825">
        <f>VLOOKUP($AI12,Funding!$A$1:$G$6,6,FALSE)*EV12</f>
        <v>0</v>
      </c>
      <c r="EX12" s="825">
        <f t="shared" si="90"/>
        <v>90492.20000000007</v>
      </c>
      <c r="EY12" s="825">
        <f t="shared" si="91"/>
        <v>0</v>
      </c>
      <c r="EZ12" s="825">
        <f t="shared" si="92"/>
        <v>90492.20000000007</v>
      </c>
      <c r="FA12" s="825"/>
      <c r="FB12" s="825">
        <f t="shared" si="93"/>
        <v>4264000</v>
      </c>
      <c r="FC12" s="825">
        <f t="shared" si="94"/>
        <v>0</v>
      </c>
      <c r="FD12" s="825">
        <f t="shared" si="95"/>
        <v>0</v>
      </c>
      <c r="FE12" s="825">
        <f t="shared" si="96"/>
        <v>0</v>
      </c>
      <c r="FF12" s="825">
        <f t="shared" si="97"/>
        <v>0</v>
      </c>
      <c r="FG12" s="825">
        <f t="shared" si="98"/>
        <v>0</v>
      </c>
      <c r="FH12" s="825">
        <f t="shared" si="99"/>
        <v>0</v>
      </c>
      <c r="FI12" s="545"/>
      <c r="FJ12" s="546"/>
      <c r="FK12" s="546"/>
      <c r="FL12" s="545">
        <f t="shared" si="100"/>
        <v>12</v>
      </c>
      <c r="FM12" s="547">
        <v>0.15</v>
      </c>
      <c r="FN12" s="547">
        <f>IF(FM12&gt;0.2,0.35,VLOOKUP(FM12,'Density Bonus'!$A$1:$B$15,2,FALSE))</f>
        <v>0.27500000000000002</v>
      </c>
      <c r="FO12" s="548">
        <f t="shared" si="101"/>
        <v>12.077777777777778</v>
      </c>
      <c r="FP12" s="548">
        <f t="shared" si="102"/>
        <v>13</v>
      </c>
      <c r="FQ12" s="347"/>
      <c r="FR12" s="549">
        <f t="shared" si="103"/>
        <v>2</v>
      </c>
      <c r="FS12" s="549">
        <f t="shared" si="104"/>
        <v>11</v>
      </c>
      <c r="FT12" s="550">
        <f t="shared" si="105"/>
        <v>0</v>
      </c>
      <c r="FU12" s="550">
        <f>IF(FM12&lt;0.15,(VLOOKUP($AN12,'Impact Fee'!$A$1:$E$10,5,FALSE)*FS12),0)</f>
        <v>0</v>
      </c>
      <c r="FV12" s="550">
        <f t="shared" si="106"/>
        <v>0</v>
      </c>
      <c r="FW12" s="550">
        <f t="shared" si="107"/>
        <v>407625</v>
      </c>
      <c r="FX12" s="550">
        <f t="shared" si="108"/>
        <v>449132.79999999993</v>
      </c>
      <c r="FY12" s="550">
        <f t="shared" si="109"/>
        <v>0</v>
      </c>
      <c r="FZ12" s="550">
        <f t="shared" si="110"/>
        <v>0</v>
      </c>
      <c r="GA12" s="550">
        <f>VLOOKUP($AI12,Funding!$A$1:$G$6,3,FALSE)*FZ12</f>
        <v>0</v>
      </c>
      <c r="GB12" s="550">
        <f t="shared" si="111"/>
        <v>0</v>
      </c>
      <c r="GC12" s="550">
        <f t="shared" si="112"/>
        <v>-41507.79999999993</v>
      </c>
      <c r="GD12" s="550">
        <f t="shared" si="113"/>
        <v>-41507.79999999993</v>
      </c>
      <c r="GE12" s="550"/>
      <c r="GF12" s="550">
        <f t="shared" si="114"/>
        <v>4264000</v>
      </c>
      <c r="GG12" s="550">
        <f t="shared" si="115"/>
        <v>0</v>
      </c>
      <c r="GH12" s="550">
        <f t="shared" si="116"/>
        <v>0</v>
      </c>
      <c r="GI12" s="550">
        <f t="shared" si="117"/>
        <v>0</v>
      </c>
      <c r="GJ12" s="550">
        <f t="shared" si="118"/>
        <v>0</v>
      </c>
      <c r="GK12" s="550">
        <f t="shared" si="119"/>
        <v>0</v>
      </c>
      <c r="GL12" s="550">
        <f t="shared" si="120"/>
        <v>0</v>
      </c>
      <c r="GM12" s="550">
        <f t="shared" si="121"/>
        <v>0</v>
      </c>
      <c r="GN12" s="550">
        <f t="shared" si="122"/>
        <v>0</v>
      </c>
      <c r="GO12" s="199"/>
      <c r="GP12" s="275"/>
      <c r="GQ12" s="199">
        <f t="shared" si="123"/>
        <v>12</v>
      </c>
      <c r="GR12" s="34">
        <v>1</v>
      </c>
      <c r="GS12" s="34">
        <f>IF(GR12&gt;0.2,0.35,VLOOKUP(GR12,'Density Bonus'!$A$1:$B$15,2,FALSE))</f>
        <v>0.35</v>
      </c>
      <c r="GT12" s="235">
        <f t="shared" si="124"/>
        <v>12.077777777777778</v>
      </c>
      <c r="GU12" s="235">
        <f t="shared" si="125"/>
        <v>13</v>
      </c>
      <c r="GV12" s="347"/>
      <c r="GW12" s="31">
        <f t="shared" si="126"/>
        <v>13</v>
      </c>
      <c r="GX12" s="31">
        <f t="shared" si="127"/>
        <v>0</v>
      </c>
      <c r="GY12" s="196" t="str">
        <f t="shared" si="128"/>
        <v/>
      </c>
      <c r="GZ12" s="238">
        <f t="shared" si="129"/>
        <v>0</v>
      </c>
      <c r="HA12" s="238">
        <f t="shared" si="130"/>
        <v>0</v>
      </c>
      <c r="HB12" s="238">
        <f t="shared" si="131"/>
        <v>0</v>
      </c>
      <c r="HC12" s="238">
        <f t="shared" si="224"/>
        <v>0</v>
      </c>
      <c r="HD12" s="238">
        <f>VLOOKUP($AI12,Funding!$A$1:$G$6,7,FALSE)*HC12</f>
        <v>0</v>
      </c>
      <c r="HE12" s="238">
        <f t="shared" si="225"/>
        <v>0</v>
      </c>
      <c r="HF12" s="238">
        <f t="shared" si="226"/>
        <v>-1322776</v>
      </c>
      <c r="HG12" s="238">
        <f t="shared" si="132"/>
        <v>-1322776</v>
      </c>
      <c r="HH12" s="238"/>
      <c r="HI12" s="238">
        <f t="shared" si="133"/>
        <v>4264000</v>
      </c>
      <c r="HJ12" s="238">
        <f t="shared" si="134"/>
        <v>0</v>
      </c>
      <c r="HK12" s="238">
        <f t="shared" si="135"/>
        <v>0</v>
      </c>
      <c r="HL12" s="238">
        <f t="shared" si="136"/>
        <v>0</v>
      </c>
      <c r="HM12" s="238">
        <f t="shared" si="137"/>
        <v>0</v>
      </c>
      <c r="HN12" s="238">
        <f t="shared" si="138"/>
        <v>0</v>
      </c>
      <c r="HO12" s="238">
        <f t="shared" si="139"/>
        <v>0</v>
      </c>
      <c r="HP12" s="397"/>
      <c r="HQ12" s="424"/>
      <c r="HR12" s="426">
        <f t="shared" si="140"/>
        <v>407625</v>
      </c>
      <c r="HS12" s="425">
        <f t="shared" si="141"/>
        <v>0</v>
      </c>
      <c r="HT12" s="425">
        <f t="shared" si="142"/>
        <v>12</v>
      </c>
      <c r="HU12" s="429">
        <v>0</v>
      </c>
      <c r="HV12" s="429">
        <f t="shared" ref="HV12:HY18" si="227">K12</f>
        <v>0</v>
      </c>
      <c r="HW12" s="429">
        <f t="shared" si="227"/>
        <v>0</v>
      </c>
      <c r="HX12" s="429">
        <f t="shared" si="227"/>
        <v>0</v>
      </c>
      <c r="HY12" s="429">
        <f t="shared" si="227"/>
        <v>0</v>
      </c>
      <c r="HZ12" s="426">
        <f t="shared" si="144"/>
        <v>328000</v>
      </c>
      <c r="IA12" s="426">
        <f>IA22</f>
        <v>270</v>
      </c>
      <c r="IB12" s="426"/>
      <c r="IC12" s="425"/>
      <c r="ID12" s="426"/>
      <c r="IE12" s="426"/>
      <c r="IF12" s="427">
        <f>(($HR12+((HS12+HT12)*HZ12)+(HU12*IA12)+(HV12*IB12)+(HW12*IC12)+(HX12*ID12))*0.01*0.29)</f>
        <v>12596.512499999999</v>
      </c>
      <c r="IG12" s="428">
        <f t="shared" si="145"/>
        <v>7223.4483750000018</v>
      </c>
      <c r="IH12" s="428">
        <f t="shared" si="146"/>
        <v>0</v>
      </c>
      <c r="II12" s="428">
        <f t="shared" si="147"/>
        <v>5072.7222000000002</v>
      </c>
      <c r="IJ12" s="428">
        <f t="shared" si="148"/>
        <v>0</v>
      </c>
      <c r="IK12" s="428">
        <f t="shared" si="149"/>
        <v>24892.683075000001</v>
      </c>
      <c r="IL12" s="429">
        <f t="shared" si="150"/>
        <v>0</v>
      </c>
      <c r="IM12" s="427">
        <f>Sites!AG12</f>
        <v>407625</v>
      </c>
      <c r="IN12" s="428">
        <f t="shared" si="151"/>
        <v>6114.375</v>
      </c>
      <c r="IO12" s="429">
        <f t="shared" si="152"/>
        <v>19.68</v>
      </c>
      <c r="IP12" s="426">
        <f t="shared" si="153"/>
        <v>869878.72833363619</v>
      </c>
      <c r="IQ12" s="426">
        <f t="shared" si="154"/>
        <v>477779.92346614425</v>
      </c>
      <c r="IR12" s="430">
        <v>2024</v>
      </c>
      <c r="IS12" s="431"/>
      <c r="IT12" s="431"/>
      <c r="IU12" s="431"/>
      <c r="IV12" s="428"/>
      <c r="IW12" s="428"/>
      <c r="IX12" s="428"/>
      <c r="IY12" s="428"/>
      <c r="IZ12" s="428">
        <f t="shared" si="155"/>
        <v>28593.868277588303</v>
      </c>
      <c r="JA12" s="428">
        <f t="shared" si="155"/>
        <v>29165.745643140071</v>
      </c>
      <c r="JB12" s="428">
        <f t="shared" si="155"/>
        <v>29749.060556002874</v>
      </c>
      <c r="JC12" s="428">
        <f t="shared" si="155"/>
        <v>30344.041767122933</v>
      </c>
      <c r="JD12" s="428">
        <f t="shared" si="155"/>
        <v>30950.922602465387</v>
      </c>
      <c r="JE12" s="428">
        <f t="shared" si="155"/>
        <v>31569.9410545147</v>
      </c>
      <c r="JF12" s="428">
        <f t="shared" si="155"/>
        <v>32201.33987560499</v>
      </c>
      <c r="JG12" s="428">
        <f t="shared" si="155"/>
        <v>32845.366673117096</v>
      </c>
      <c r="JH12" s="428">
        <f t="shared" si="155"/>
        <v>33502.274006579428</v>
      </c>
      <c r="JI12" s="428">
        <f t="shared" si="155"/>
        <v>34172.319486711021</v>
      </c>
      <c r="JJ12" s="428">
        <f t="shared" si="156"/>
        <v>34855.765876445243</v>
      </c>
      <c r="JK12" s="428">
        <f t="shared" si="156"/>
        <v>35552.881193974143</v>
      </c>
      <c r="JL12" s="428">
        <f t="shared" si="156"/>
        <v>36263.938817853625</v>
      </c>
      <c r="JM12" s="428">
        <f t="shared" si="156"/>
        <v>36989.217594210706</v>
      </c>
      <c r="JN12" s="428">
        <f t="shared" si="156"/>
        <v>37729.001946094912</v>
      </c>
      <c r="JO12" s="428">
        <f t="shared" si="156"/>
        <v>38483.581985016812</v>
      </c>
      <c r="JP12" s="428">
        <f t="shared" si="156"/>
        <v>39253.253624717145</v>
      </c>
      <c r="JQ12" s="428">
        <f t="shared" si="156"/>
        <v>40038.318697211485</v>
      </c>
      <c r="JR12" s="428">
        <f t="shared" si="156"/>
        <v>40839.085071155721</v>
      </c>
      <c r="JS12" s="428">
        <f t="shared" si="156"/>
        <v>41655.86677257884</v>
      </c>
      <c r="JT12" s="428">
        <f t="shared" si="156"/>
        <v>42488.984108030403</v>
      </c>
      <c r="JU12" s="428">
        <f t="shared" si="156"/>
        <v>43338.76379019102</v>
      </c>
      <c r="JV12" s="428">
        <f t="shared" si="156"/>
        <v>44205.539065994839</v>
      </c>
      <c r="JW12" s="428">
        <f t="shared" si="156"/>
        <v>45089.649847314737</v>
      </c>
      <c r="JX12" s="432"/>
      <c r="JY12" s="435">
        <f t="shared" si="157"/>
        <v>13</v>
      </c>
      <c r="JZ12" s="435">
        <f t="shared" si="158"/>
        <v>0</v>
      </c>
      <c r="KA12" s="435">
        <f t="shared" si="159"/>
        <v>0</v>
      </c>
      <c r="KB12" s="435">
        <f t="shared" si="160"/>
        <v>0</v>
      </c>
      <c r="KC12" s="435">
        <f t="shared" si="161"/>
        <v>0</v>
      </c>
      <c r="KD12" s="435">
        <f t="shared" si="162"/>
        <v>0</v>
      </c>
      <c r="KE12" s="435">
        <f t="shared" si="163"/>
        <v>0</v>
      </c>
      <c r="KF12" s="432">
        <f t="shared" si="164"/>
        <v>328000</v>
      </c>
      <c r="KG12" s="445">
        <f t="shared" si="165"/>
        <v>270</v>
      </c>
      <c r="KH12" s="445">
        <f t="shared" si="166"/>
        <v>0</v>
      </c>
      <c r="KI12" s="445">
        <f t="shared" si="167"/>
        <v>0</v>
      </c>
      <c r="KJ12" s="445">
        <f t="shared" si="168"/>
        <v>0</v>
      </c>
      <c r="KK12" s="445">
        <f t="shared" si="169"/>
        <v>0</v>
      </c>
      <c r="KL12" s="434">
        <f>(($HR12+(JZ12*KF12)+(KA12*KG12)+(KB12*KH12)+(KC12*KI12)+(KD12*KJ12))*0.01*0.29)</f>
        <v>1182.1125</v>
      </c>
      <c r="KM12" s="432">
        <f t="shared" si="170"/>
        <v>677.88037499999996</v>
      </c>
      <c r="KN12" s="432">
        <f t="shared" si="171"/>
        <v>0</v>
      </c>
      <c r="KO12" s="432">
        <f t="shared" si="172"/>
        <v>0</v>
      </c>
      <c r="KP12" s="432">
        <f t="shared" si="173"/>
        <v>0</v>
      </c>
      <c r="KQ12" s="432">
        <f t="shared" si="174"/>
        <v>1859.9928749999999</v>
      </c>
      <c r="KR12" s="435">
        <f t="shared" si="175"/>
        <v>0</v>
      </c>
      <c r="KS12" s="434">
        <f t="shared" si="176"/>
        <v>0</v>
      </c>
      <c r="KT12" s="432">
        <f t="shared" si="177"/>
        <v>0</v>
      </c>
      <c r="KU12" s="435">
        <f t="shared" si="178"/>
        <v>21.32</v>
      </c>
      <c r="KV12" s="433">
        <f t="shared" si="179"/>
        <v>64997.743792414563</v>
      </c>
      <c r="KW12" s="433">
        <f t="shared" si="180"/>
        <v>35699.938443259736</v>
      </c>
      <c r="KX12" s="436">
        <f t="shared" si="181"/>
        <v>2024</v>
      </c>
      <c r="KY12" s="411"/>
      <c r="KZ12" s="411"/>
      <c r="LA12" s="411"/>
      <c r="LB12" s="411"/>
      <c r="LC12" s="411"/>
      <c r="LD12" s="411"/>
      <c r="LE12" s="411"/>
      <c r="LF12" s="446">
        <f t="shared" si="182"/>
        <v>2136.5471574422781</v>
      </c>
      <c r="LG12" s="446">
        <f t="shared" si="182"/>
        <v>2179.2781005911243</v>
      </c>
      <c r="LH12" s="446">
        <f t="shared" si="182"/>
        <v>2222.8636626029465</v>
      </c>
      <c r="LI12" s="446">
        <f t="shared" si="182"/>
        <v>2267.3209358550057</v>
      </c>
      <c r="LJ12" s="446">
        <f t="shared" si="182"/>
        <v>2312.6673545721055</v>
      </c>
      <c r="LK12" s="446">
        <f t="shared" si="182"/>
        <v>2358.9207016635478</v>
      </c>
      <c r="LL12" s="446">
        <f t="shared" si="182"/>
        <v>2406.0991156968184</v>
      </c>
      <c r="LM12" s="446">
        <f t="shared" si="182"/>
        <v>2454.2210980107552</v>
      </c>
      <c r="LN12" s="446">
        <f t="shared" si="182"/>
        <v>2503.3055199709697</v>
      </c>
      <c r="LO12" s="446">
        <f t="shared" si="182"/>
        <v>2553.3716303703895</v>
      </c>
      <c r="LP12" s="446">
        <f t="shared" si="183"/>
        <v>2604.4390629777977</v>
      </c>
      <c r="LQ12" s="446">
        <f t="shared" si="183"/>
        <v>2656.5278442373533</v>
      </c>
      <c r="LR12" s="446">
        <f t="shared" si="183"/>
        <v>2709.6584011221003</v>
      </c>
      <c r="LS12" s="446">
        <f t="shared" si="183"/>
        <v>2763.8515691445423</v>
      </c>
      <c r="LT12" s="446">
        <f t="shared" si="183"/>
        <v>2819.1286005274333</v>
      </c>
      <c r="LU12" s="446">
        <f t="shared" si="183"/>
        <v>2875.511172537982</v>
      </c>
      <c r="LV12" s="446">
        <f t="shared" si="183"/>
        <v>2933.021395988741</v>
      </c>
      <c r="LW12" s="446">
        <f t="shared" si="183"/>
        <v>2991.681823908516</v>
      </c>
      <c r="LX12" s="446">
        <f t="shared" si="183"/>
        <v>3051.5154603866863</v>
      </c>
      <c r="LY12" s="446">
        <f t="shared" si="183"/>
        <v>3112.5457695944201</v>
      </c>
      <c r="LZ12" s="446">
        <f t="shared" si="183"/>
        <v>3174.7966849863083</v>
      </c>
      <c r="MA12" s="446">
        <f t="shared" si="183"/>
        <v>3238.292618686035</v>
      </c>
      <c r="MB12" s="446">
        <f t="shared" si="183"/>
        <v>3303.058471059755</v>
      </c>
      <c r="MC12" s="446">
        <f t="shared" si="183"/>
        <v>3369.1196404809507</v>
      </c>
      <c r="MD12" s="496"/>
      <c r="ME12" s="497">
        <f t="shared" si="184"/>
        <v>0</v>
      </c>
      <c r="MF12" s="497">
        <f t="shared" si="185"/>
        <v>0</v>
      </c>
      <c r="MG12" s="497">
        <f t="shared" si="186"/>
        <v>0</v>
      </c>
      <c r="MH12" s="497">
        <f t="shared" si="187"/>
        <v>0</v>
      </c>
      <c r="MI12" s="497">
        <f t="shared" si="188"/>
        <v>0</v>
      </c>
      <c r="MJ12" s="498">
        <f t="shared" si="189"/>
        <v>270</v>
      </c>
      <c r="MK12" s="498">
        <f t="shared" si="190"/>
        <v>0</v>
      </c>
      <c r="ML12" s="498">
        <f t="shared" si="191"/>
        <v>0</v>
      </c>
      <c r="MM12" s="498">
        <f t="shared" si="192"/>
        <v>0</v>
      </c>
      <c r="MN12" s="498">
        <f t="shared" si="193"/>
        <v>0</v>
      </c>
      <c r="MO12" s="454"/>
      <c r="MP12" s="448">
        <f t="shared" si="194"/>
        <v>13</v>
      </c>
      <c r="MQ12" s="448">
        <f t="shared" si="195"/>
        <v>0</v>
      </c>
      <c r="MR12" s="448">
        <f t="shared" si="196"/>
        <v>0</v>
      </c>
      <c r="MS12" s="448">
        <f t="shared" si="197"/>
        <v>0</v>
      </c>
      <c r="MT12" s="448">
        <f t="shared" si="198"/>
        <v>0</v>
      </c>
      <c r="MU12" s="448">
        <f t="shared" si="199"/>
        <v>0</v>
      </c>
      <c r="MV12" s="448">
        <f t="shared" si="200"/>
        <v>0</v>
      </c>
      <c r="MW12" s="450">
        <f t="shared" si="201"/>
        <v>328000</v>
      </c>
      <c r="MX12" s="450">
        <f t="shared" si="202"/>
        <v>270</v>
      </c>
      <c r="MY12" s="450">
        <f t="shared" si="203"/>
        <v>0</v>
      </c>
      <c r="MZ12" s="450">
        <f t="shared" si="204"/>
        <v>0</v>
      </c>
      <c r="NA12" s="450">
        <f t="shared" si="205"/>
        <v>0</v>
      </c>
      <c r="NB12" s="450">
        <f t="shared" si="206"/>
        <v>0</v>
      </c>
      <c r="NC12" s="451">
        <f t="shared" si="207"/>
        <v>0</v>
      </c>
      <c r="ND12" s="449">
        <f t="shared" si="208"/>
        <v>0</v>
      </c>
      <c r="NE12" s="449">
        <f t="shared" si="209"/>
        <v>0</v>
      </c>
      <c r="NF12" s="449">
        <f t="shared" si="210"/>
        <v>0</v>
      </c>
      <c r="NG12" s="449">
        <f t="shared" si="211"/>
        <v>0</v>
      </c>
      <c r="NH12" s="449">
        <f t="shared" si="212"/>
        <v>0</v>
      </c>
      <c r="NI12" s="448">
        <f t="shared" si="213"/>
        <v>0</v>
      </c>
      <c r="NJ12" s="451">
        <f t="shared" si="214"/>
        <v>0</v>
      </c>
      <c r="NK12" s="449">
        <f t="shared" si="215"/>
        <v>0</v>
      </c>
      <c r="NL12" s="448">
        <f t="shared" si="216"/>
        <v>21.32</v>
      </c>
      <c r="NM12" s="452">
        <f t="shared" si="217"/>
        <v>0</v>
      </c>
      <c r="NN12" s="452">
        <f t="shared" si="218"/>
        <v>0</v>
      </c>
      <c r="NO12" s="453">
        <f t="shared" si="219"/>
        <v>2024</v>
      </c>
      <c r="NP12" s="423"/>
      <c r="NQ12" s="423"/>
      <c r="NR12" s="423"/>
      <c r="NS12" s="423"/>
      <c r="NT12" s="423"/>
      <c r="NU12" s="423"/>
      <c r="NV12" s="423"/>
      <c r="NW12" s="454">
        <f t="shared" si="220"/>
        <v>0</v>
      </c>
      <c r="NX12" s="454">
        <f t="shared" si="220"/>
        <v>0</v>
      </c>
      <c r="NY12" s="454">
        <f t="shared" si="220"/>
        <v>0</v>
      </c>
      <c r="NZ12" s="454">
        <f t="shared" si="220"/>
        <v>0</v>
      </c>
      <c r="OA12" s="454">
        <f t="shared" si="220"/>
        <v>0</v>
      </c>
      <c r="OB12" s="454">
        <f t="shared" si="220"/>
        <v>0</v>
      </c>
      <c r="OC12" s="454">
        <f t="shared" si="220"/>
        <v>0</v>
      </c>
      <c r="OD12" s="454">
        <f t="shared" si="220"/>
        <v>0</v>
      </c>
      <c r="OE12" s="454">
        <f t="shared" si="220"/>
        <v>0</v>
      </c>
      <c r="OF12" s="454">
        <f t="shared" si="220"/>
        <v>0</v>
      </c>
      <c r="OG12" s="454">
        <f t="shared" si="221"/>
        <v>0</v>
      </c>
      <c r="OH12" s="454">
        <f t="shared" si="221"/>
        <v>0</v>
      </c>
      <c r="OI12" s="454">
        <f t="shared" si="221"/>
        <v>0</v>
      </c>
      <c r="OJ12" s="454">
        <f t="shared" si="221"/>
        <v>0</v>
      </c>
      <c r="OK12" s="454">
        <f t="shared" si="221"/>
        <v>0</v>
      </c>
      <c r="OL12" s="454">
        <f t="shared" si="221"/>
        <v>0</v>
      </c>
      <c r="OM12" s="454">
        <f t="shared" si="221"/>
        <v>0</v>
      </c>
      <c r="ON12" s="454">
        <f t="shared" si="221"/>
        <v>0</v>
      </c>
      <c r="OO12" s="454">
        <f t="shared" si="221"/>
        <v>0</v>
      </c>
      <c r="OP12" s="454">
        <f t="shared" si="221"/>
        <v>0</v>
      </c>
      <c r="OQ12" s="454">
        <f t="shared" si="221"/>
        <v>0</v>
      </c>
      <c r="OR12" s="454">
        <f t="shared" si="221"/>
        <v>0</v>
      </c>
      <c r="OS12" s="454">
        <f t="shared" si="221"/>
        <v>0</v>
      </c>
      <c r="OT12" s="454">
        <f t="shared" si="221"/>
        <v>0</v>
      </c>
    </row>
    <row r="13" spans="1:410" s="11" customFormat="1" ht="30">
      <c r="A13" s="19" t="s">
        <v>17</v>
      </c>
      <c r="B13" s="19" t="s">
        <v>18</v>
      </c>
      <c r="C13" s="19" t="s">
        <v>433</v>
      </c>
      <c r="D13" s="19">
        <v>2</v>
      </c>
      <c r="E13" s="19" t="s">
        <v>293</v>
      </c>
      <c r="F13" s="19" t="s">
        <v>420</v>
      </c>
      <c r="G13" s="23">
        <v>13</v>
      </c>
      <c r="H13" s="23"/>
      <c r="I13" s="442">
        <v>26311</v>
      </c>
      <c r="J13" s="20"/>
      <c r="K13" s="20"/>
      <c r="L13" s="20"/>
      <c r="M13" s="20"/>
      <c r="N13" s="20"/>
      <c r="O13" s="442">
        <f t="shared" si="3"/>
        <v>0</v>
      </c>
      <c r="P13" s="21"/>
      <c r="Q13" s="21" t="s">
        <v>45</v>
      </c>
      <c r="R13" s="27">
        <f t="shared" si="4"/>
        <v>23.919090909090908</v>
      </c>
      <c r="S13" s="457" t="s">
        <v>27</v>
      </c>
      <c r="T13" s="27">
        <v>0</v>
      </c>
      <c r="U13" s="21"/>
      <c r="V13" s="19" t="s">
        <v>28</v>
      </c>
      <c r="W13" s="22" t="s">
        <v>101</v>
      </c>
      <c r="X13" s="19" t="s">
        <v>37</v>
      </c>
      <c r="Y13" s="19"/>
      <c r="Z13" s="19" t="s">
        <v>15</v>
      </c>
      <c r="AA13" s="219" t="s">
        <v>95</v>
      </c>
      <c r="AB13" s="219" t="s">
        <v>79</v>
      </c>
      <c r="AC13" s="224">
        <v>40</v>
      </c>
      <c r="AD13" s="224">
        <f t="shared" si="5"/>
        <v>1052440</v>
      </c>
      <c r="AE13" s="24"/>
      <c r="AF13" s="273"/>
      <c r="AG13" s="220">
        <f t="shared" si="6"/>
        <v>1052440</v>
      </c>
      <c r="AH13" s="220">
        <f t="shared" si="7"/>
        <v>1052440</v>
      </c>
      <c r="AI13" s="24" t="s">
        <v>248</v>
      </c>
      <c r="AJ13" s="228">
        <f>VLOOKUP($Q13,'Zoning Density'!$A$1:$E$28,3,)</f>
        <v>1100</v>
      </c>
      <c r="AK13" s="228">
        <f t="shared" si="8"/>
        <v>1100</v>
      </c>
      <c r="AL13" s="229">
        <f t="shared" si="9"/>
        <v>23.919090909090908</v>
      </c>
      <c r="AM13" s="229">
        <f t="shared" si="10"/>
        <v>23.919090909090908</v>
      </c>
      <c r="AN13" s="228">
        <v>3</v>
      </c>
      <c r="AO13" s="221">
        <f>VLOOKUP($AI13,Funding!$A$1:$G$6,3,FALSE)*$AG13</f>
        <v>0</v>
      </c>
      <c r="AP13" s="221">
        <f>VLOOKUP($AI13,Funding!$A$1:$G$6,4,FALSE)*$AG13</f>
        <v>1052440</v>
      </c>
      <c r="AQ13" s="351"/>
      <c r="AR13" s="274"/>
      <c r="AS13" s="222">
        <f t="shared" si="11"/>
        <v>23</v>
      </c>
      <c r="AT13" s="222"/>
      <c r="AU13" s="222">
        <f t="shared" si="12"/>
        <v>23</v>
      </c>
      <c r="AV13" s="221">
        <f>VLOOKUP($AN13,'Impact Fee'!$A$1:$E$20,5,FALSE)*AU13</f>
        <v>276000</v>
      </c>
      <c r="AW13" s="221">
        <f t="shared" si="13"/>
        <v>0</v>
      </c>
      <c r="AX13" s="221"/>
      <c r="AY13" s="321"/>
      <c r="AZ13" s="221">
        <f t="shared" si="14"/>
        <v>276000</v>
      </c>
      <c r="BA13" s="221">
        <f t="shared" si="15"/>
        <v>276000</v>
      </c>
      <c r="BB13" s="221">
        <f t="shared" si="16"/>
        <v>1328440</v>
      </c>
      <c r="BC13" s="271">
        <f t="shared" si="222"/>
        <v>2.2080000000000002</v>
      </c>
      <c r="BD13" s="271">
        <f t="shared" si="223"/>
        <v>10.627520000000001</v>
      </c>
      <c r="BE13" s="271"/>
      <c r="BF13" s="221">
        <f t="shared" si="17"/>
        <v>7544000</v>
      </c>
      <c r="BG13" s="221">
        <f t="shared" si="18"/>
        <v>0</v>
      </c>
      <c r="BH13" s="221">
        <f t="shared" si="19"/>
        <v>0</v>
      </c>
      <c r="BI13" s="221">
        <f t="shared" si="20"/>
        <v>0</v>
      </c>
      <c r="BJ13" s="221">
        <f t="shared" si="21"/>
        <v>0</v>
      </c>
      <c r="BK13" s="221">
        <f t="shared" si="22"/>
        <v>0</v>
      </c>
      <c r="BL13" s="221">
        <f t="shared" si="23"/>
        <v>0</v>
      </c>
      <c r="BM13" s="221">
        <f t="shared" si="24"/>
        <v>0</v>
      </c>
      <c r="BN13" s="259"/>
      <c r="BO13" s="260"/>
      <c r="BP13" s="259">
        <f t="shared" si="25"/>
        <v>23</v>
      </c>
      <c r="BQ13" s="261">
        <v>1</v>
      </c>
      <c r="BR13" s="261">
        <f>IF(BQ13&gt;0.2,0.35,VLOOKUP(BQ13,'Density Bonus'!$A$1:$B$15,2,FALSE))</f>
        <v>0.35</v>
      </c>
      <c r="BS13" s="262">
        <f t="shared" si="26"/>
        <v>31.05</v>
      </c>
      <c r="BT13" s="262">
        <f t="shared" si="27"/>
        <v>32</v>
      </c>
      <c r="BU13" s="349"/>
      <c r="BV13" s="263">
        <f t="shared" si="28"/>
        <v>32</v>
      </c>
      <c r="BW13" s="263">
        <f t="shared" si="29"/>
        <v>0</v>
      </c>
      <c r="BX13" s="264">
        <f t="shared" si="30"/>
        <v>0</v>
      </c>
      <c r="BY13" s="264">
        <f>IF(BQ13&lt;0.15,(VLOOKUP($AN13,'Impact Fee'!$A$1:$E$10,5,FALSE)*BW13),0)</f>
        <v>0</v>
      </c>
      <c r="BZ13" s="264">
        <f t="shared" si="31"/>
        <v>0</v>
      </c>
      <c r="CA13" s="264">
        <f t="shared" si="32"/>
        <v>0</v>
      </c>
      <c r="CB13" s="264">
        <f t="shared" si="33"/>
        <v>0</v>
      </c>
      <c r="CC13" s="264">
        <f t="shared" si="34"/>
        <v>0</v>
      </c>
      <c r="CD13" s="264">
        <f t="shared" si="35"/>
        <v>0</v>
      </c>
      <c r="CE13" s="264">
        <f>CD13*IF(F13="Commercial",CE$3,VLOOKUP($AI13,Funding!$A$1:$G$6,5,FALSE))</f>
        <v>0</v>
      </c>
      <c r="CF13" s="264">
        <f t="shared" si="36"/>
        <v>0</v>
      </c>
      <c r="CG13" s="264">
        <f t="shared" si="37"/>
        <v>-3256064</v>
      </c>
      <c r="CH13" s="264">
        <f t="shared" si="38"/>
        <v>-3256064</v>
      </c>
      <c r="CI13" s="264"/>
      <c r="CJ13" s="264">
        <f t="shared" si="39"/>
        <v>10496000</v>
      </c>
      <c r="CK13" s="264">
        <f t="shared" si="40"/>
        <v>0</v>
      </c>
      <c r="CL13" s="264">
        <f t="shared" si="41"/>
        <v>0</v>
      </c>
      <c r="CM13" s="264">
        <f t="shared" si="42"/>
        <v>0</v>
      </c>
      <c r="CN13" s="264">
        <f t="shared" si="43"/>
        <v>0</v>
      </c>
      <c r="CO13" s="264">
        <f t="shared" si="44"/>
        <v>0</v>
      </c>
      <c r="CP13" s="264">
        <f t="shared" si="45"/>
        <v>0</v>
      </c>
      <c r="CQ13" s="264">
        <f t="shared" si="46"/>
        <v>0</v>
      </c>
      <c r="CR13" s="264">
        <f t="shared" si="47"/>
        <v>0</v>
      </c>
      <c r="CS13" s="520"/>
      <c r="CT13" s="521"/>
      <c r="CU13" s="520">
        <f t="shared" si="48"/>
        <v>23</v>
      </c>
      <c r="CV13" s="522">
        <v>0.15</v>
      </c>
      <c r="CW13" s="522">
        <f>IF(CV13&gt;0.2,0.35,VLOOKUP(CV13,'Density Bonus'!$A$1:$B$15,2,FALSE))</f>
        <v>0.27500000000000002</v>
      </c>
      <c r="CX13" s="523">
        <f t="shared" si="49"/>
        <v>29.324999999999999</v>
      </c>
      <c r="CY13" s="523">
        <f t="shared" si="50"/>
        <v>30</v>
      </c>
      <c r="CZ13" s="347"/>
      <c r="DA13" s="524">
        <f t="shared" si="51"/>
        <v>5</v>
      </c>
      <c r="DB13" s="524">
        <f t="shared" si="52"/>
        <v>25</v>
      </c>
      <c r="DC13" s="525">
        <f t="shared" si="53"/>
        <v>0</v>
      </c>
      <c r="DD13" s="525">
        <f>IF(CV13&lt;0.4,VLOOKUP($AN13,'Impact Fee'!$A$1:$E$10,5,FALSE)*DB13,0)</f>
        <v>300000</v>
      </c>
      <c r="DE13" s="525">
        <f t="shared" si="54"/>
        <v>300000</v>
      </c>
      <c r="DF13" s="525">
        <f t="shared" si="55"/>
        <v>1352440</v>
      </c>
      <c r="DG13" s="525">
        <f t="shared" si="56"/>
        <v>1122831.9999999998</v>
      </c>
      <c r="DH13" s="525">
        <f t="shared" si="57"/>
        <v>763140</v>
      </c>
      <c r="DI13" s="525">
        <f t="shared" si="58"/>
        <v>229608.00000000023</v>
      </c>
      <c r="DJ13" s="525">
        <f t="shared" si="59"/>
        <v>229608.00000000023</v>
      </c>
      <c r="DK13" s="525">
        <f t="shared" si="60"/>
        <v>0</v>
      </c>
      <c r="DL13" s="525">
        <f t="shared" si="61"/>
        <v>0</v>
      </c>
      <c r="DM13" s="525">
        <f t="shared" si="62"/>
        <v>0</v>
      </c>
      <c r="DN13" s="525">
        <f t="shared" si="63"/>
        <v>0</v>
      </c>
      <c r="DO13" s="525">
        <f>VLOOKUP($AI13,Funding!$A$1:$G$6,6,FALSE)*DN13</f>
        <v>0</v>
      </c>
      <c r="DP13" s="525">
        <f t="shared" si="64"/>
        <v>229608.00000000023</v>
      </c>
      <c r="DQ13" s="525">
        <f t="shared" si="65"/>
        <v>0</v>
      </c>
      <c r="DR13" s="525">
        <f t="shared" si="66"/>
        <v>229608.00000000023</v>
      </c>
      <c r="DS13" s="525"/>
      <c r="DT13" s="525">
        <f t="shared" si="67"/>
        <v>9840000</v>
      </c>
      <c r="DU13" s="525">
        <f t="shared" si="68"/>
        <v>0</v>
      </c>
      <c r="DV13" s="525">
        <f t="shared" si="69"/>
        <v>0</v>
      </c>
      <c r="DW13" s="525">
        <f t="shared" si="70"/>
        <v>0</v>
      </c>
      <c r="DX13" s="525">
        <f t="shared" si="71"/>
        <v>0</v>
      </c>
      <c r="DY13" s="525">
        <f t="shared" si="72"/>
        <v>0</v>
      </c>
      <c r="DZ13" s="525">
        <f t="shared" si="73"/>
        <v>0</v>
      </c>
      <c r="EA13" s="819"/>
      <c r="EB13" s="820"/>
      <c r="EC13" s="819">
        <f t="shared" si="74"/>
        <v>23</v>
      </c>
      <c r="ED13" s="821">
        <v>0.15</v>
      </c>
      <c r="EE13" s="821">
        <f>IF(ED13&gt;0.2,0.35,VLOOKUP(ED13,'Density Bonus'!$A$1:$B$15,2,FALSE))</f>
        <v>0.27500000000000002</v>
      </c>
      <c r="EF13" s="822">
        <f t="shared" si="75"/>
        <v>29.324999999999999</v>
      </c>
      <c r="EG13" s="822">
        <f t="shared" si="76"/>
        <v>30</v>
      </c>
      <c r="EH13" s="823"/>
      <c r="EI13" s="824">
        <f t="shared" si="77"/>
        <v>5</v>
      </c>
      <c r="EJ13" s="824">
        <f t="shared" si="78"/>
        <v>25</v>
      </c>
      <c r="EK13" s="825">
        <f t="shared" si="79"/>
        <v>0</v>
      </c>
      <c r="EL13" s="825">
        <f>IF(ED13&lt;0.4,VLOOKUP($AN13,'Impact Fee'!$A$1:$E$10,5,FALSE)*EJ13,0)</f>
        <v>300000</v>
      </c>
      <c r="EM13" s="825">
        <f t="shared" si="80"/>
        <v>300000</v>
      </c>
      <c r="EN13" s="825">
        <f t="shared" si="81"/>
        <v>1352440</v>
      </c>
      <c r="EO13" s="825">
        <f t="shared" si="82"/>
        <v>1122831.9999999998</v>
      </c>
      <c r="EP13" s="825">
        <f t="shared" si="83"/>
        <v>763140</v>
      </c>
      <c r="EQ13" s="825">
        <f t="shared" si="84"/>
        <v>229608.00000000023</v>
      </c>
      <c r="ER13" s="825">
        <f t="shared" si="85"/>
        <v>229608.00000000023</v>
      </c>
      <c r="ES13" s="825">
        <f t="shared" si="86"/>
        <v>0</v>
      </c>
      <c r="ET13" s="825">
        <f t="shared" si="87"/>
        <v>0</v>
      </c>
      <c r="EU13" s="825">
        <f t="shared" si="88"/>
        <v>0</v>
      </c>
      <c r="EV13" s="825">
        <f t="shared" si="89"/>
        <v>0</v>
      </c>
      <c r="EW13" s="825">
        <f>VLOOKUP($AI13,Funding!$A$1:$G$6,6,FALSE)*EV13</f>
        <v>0</v>
      </c>
      <c r="EX13" s="825">
        <f t="shared" si="90"/>
        <v>229608.00000000023</v>
      </c>
      <c r="EY13" s="825">
        <f t="shared" si="91"/>
        <v>0</v>
      </c>
      <c r="EZ13" s="825">
        <f t="shared" si="92"/>
        <v>229608.00000000023</v>
      </c>
      <c r="FA13" s="825"/>
      <c r="FB13" s="825">
        <f t="shared" si="93"/>
        <v>9840000</v>
      </c>
      <c r="FC13" s="825">
        <f t="shared" si="94"/>
        <v>0</v>
      </c>
      <c r="FD13" s="825">
        <f t="shared" si="95"/>
        <v>0</v>
      </c>
      <c r="FE13" s="825">
        <f t="shared" si="96"/>
        <v>0</v>
      </c>
      <c r="FF13" s="825">
        <f t="shared" si="97"/>
        <v>0</v>
      </c>
      <c r="FG13" s="825">
        <f t="shared" si="98"/>
        <v>0</v>
      </c>
      <c r="FH13" s="825">
        <f t="shared" si="99"/>
        <v>0</v>
      </c>
      <c r="FI13" s="545"/>
      <c r="FJ13" s="546"/>
      <c r="FK13" s="546"/>
      <c r="FL13" s="545">
        <f t="shared" si="100"/>
        <v>23</v>
      </c>
      <c r="FM13" s="547">
        <v>0.15</v>
      </c>
      <c r="FN13" s="547">
        <f>IF(FM13&gt;0.2,0.35,VLOOKUP(FM13,'Density Bonus'!$A$1:$B$15,2,FALSE))</f>
        <v>0.27500000000000002</v>
      </c>
      <c r="FO13" s="548">
        <f t="shared" si="101"/>
        <v>29.324999999999999</v>
      </c>
      <c r="FP13" s="548">
        <f t="shared" si="102"/>
        <v>30</v>
      </c>
      <c r="FQ13" s="347"/>
      <c r="FR13" s="549">
        <f t="shared" si="103"/>
        <v>5</v>
      </c>
      <c r="FS13" s="549">
        <f t="shared" si="104"/>
        <v>25</v>
      </c>
      <c r="FT13" s="550">
        <f t="shared" si="105"/>
        <v>0</v>
      </c>
      <c r="FU13" s="550">
        <f>IF(FM13&lt;0.15,(VLOOKUP($AN13,'Impact Fee'!$A$1:$E$10,5,FALSE)*FS13),0)</f>
        <v>0</v>
      </c>
      <c r="FV13" s="550">
        <f t="shared" si="106"/>
        <v>0</v>
      </c>
      <c r="FW13" s="550">
        <f t="shared" si="107"/>
        <v>1052440</v>
      </c>
      <c r="FX13" s="550">
        <f t="shared" si="108"/>
        <v>1122831.9999999998</v>
      </c>
      <c r="FY13" s="550">
        <f t="shared" si="109"/>
        <v>0</v>
      </c>
      <c r="FZ13" s="550">
        <f t="shared" si="110"/>
        <v>0</v>
      </c>
      <c r="GA13" s="550">
        <f>VLOOKUP($AI13,Funding!$A$1:$G$6,3,FALSE)*FZ13</f>
        <v>0</v>
      </c>
      <c r="GB13" s="550">
        <f t="shared" si="111"/>
        <v>0</v>
      </c>
      <c r="GC13" s="550">
        <f t="shared" si="112"/>
        <v>-70391.999999999767</v>
      </c>
      <c r="GD13" s="550">
        <f t="shared" si="113"/>
        <v>-70391.999999999767</v>
      </c>
      <c r="GE13" s="550"/>
      <c r="GF13" s="550">
        <f t="shared" si="114"/>
        <v>9840000</v>
      </c>
      <c r="GG13" s="550">
        <f t="shared" si="115"/>
        <v>0</v>
      </c>
      <c r="GH13" s="550">
        <f t="shared" si="116"/>
        <v>0</v>
      </c>
      <c r="GI13" s="550">
        <f t="shared" si="117"/>
        <v>0</v>
      </c>
      <c r="GJ13" s="550">
        <f t="shared" si="118"/>
        <v>0</v>
      </c>
      <c r="GK13" s="550">
        <f t="shared" si="119"/>
        <v>0</v>
      </c>
      <c r="GL13" s="550">
        <f t="shared" si="120"/>
        <v>0</v>
      </c>
      <c r="GM13" s="550">
        <f t="shared" si="121"/>
        <v>0</v>
      </c>
      <c r="GN13" s="550">
        <f t="shared" si="122"/>
        <v>0</v>
      </c>
      <c r="GO13" s="199"/>
      <c r="GP13" s="275"/>
      <c r="GQ13" s="199">
        <f t="shared" si="123"/>
        <v>23</v>
      </c>
      <c r="GR13" s="34">
        <v>1</v>
      </c>
      <c r="GS13" s="34">
        <f>IF(GR13&gt;0.2,0.35,VLOOKUP(GR13,'Density Bonus'!$A$1:$B$15,2,FALSE))</f>
        <v>0.35</v>
      </c>
      <c r="GT13" s="235">
        <f t="shared" si="124"/>
        <v>31.05</v>
      </c>
      <c r="GU13" s="235">
        <f t="shared" si="125"/>
        <v>32</v>
      </c>
      <c r="GV13" s="347"/>
      <c r="GW13" s="31">
        <f t="shared" si="126"/>
        <v>32</v>
      </c>
      <c r="GX13" s="31">
        <f t="shared" si="127"/>
        <v>0</v>
      </c>
      <c r="GY13" s="196" t="str">
        <f t="shared" si="128"/>
        <v/>
      </c>
      <c r="GZ13" s="238">
        <f t="shared" si="129"/>
        <v>0</v>
      </c>
      <c r="HA13" s="238">
        <f t="shared" si="130"/>
        <v>0</v>
      </c>
      <c r="HB13" s="238">
        <f t="shared" si="131"/>
        <v>0</v>
      </c>
      <c r="HC13" s="238">
        <f t="shared" si="224"/>
        <v>0</v>
      </c>
      <c r="HD13" s="238">
        <f>VLOOKUP($AI13,Funding!$A$1:$G$6,7,FALSE)*HC13</f>
        <v>0</v>
      </c>
      <c r="HE13" s="238">
        <f t="shared" si="225"/>
        <v>0</v>
      </c>
      <c r="HF13" s="238">
        <f t="shared" si="226"/>
        <v>-3256064</v>
      </c>
      <c r="HG13" s="238">
        <f t="shared" si="132"/>
        <v>-3256064</v>
      </c>
      <c r="HH13" s="238"/>
      <c r="HI13" s="238">
        <f t="shared" si="133"/>
        <v>10496000</v>
      </c>
      <c r="HJ13" s="238">
        <f t="shared" si="134"/>
        <v>0</v>
      </c>
      <c r="HK13" s="238">
        <f t="shared" si="135"/>
        <v>0</v>
      </c>
      <c r="HL13" s="238">
        <f t="shared" si="136"/>
        <v>0</v>
      </c>
      <c r="HM13" s="238">
        <f t="shared" si="137"/>
        <v>0</v>
      </c>
      <c r="HN13" s="238">
        <f t="shared" si="138"/>
        <v>0</v>
      </c>
      <c r="HO13" s="238">
        <f t="shared" si="139"/>
        <v>0</v>
      </c>
      <c r="HP13" s="397"/>
      <c r="HQ13" s="424"/>
      <c r="HR13" s="426">
        <f t="shared" si="140"/>
        <v>1052440</v>
      </c>
      <c r="HS13" s="425">
        <f t="shared" si="141"/>
        <v>0</v>
      </c>
      <c r="HT13" s="425">
        <f t="shared" si="142"/>
        <v>23</v>
      </c>
      <c r="HU13" s="429">
        <f t="shared" ref="HU13:HU18" si="228">J13</f>
        <v>0</v>
      </c>
      <c r="HV13" s="429">
        <f t="shared" si="227"/>
        <v>0</v>
      </c>
      <c r="HW13" s="429">
        <f t="shared" si="227"/>
        <v>0</v>
      </c>
      <c r="HX13" s="429">
        <f t="shared" si="227"/>
        <v>0</v>
      </c>
      <c r="HY13" s="429">
        <f t="shared" si="227"/>
        <v>0</v>
      </c>
      <c r="HZ13" s="426">
        <f t="shared" si="144"/>
        <v>328000</v>
      </c>
      <c r="IA13" s="426"/>
      <c r="IB13" s="426"/>
      <c r="IC13" s="425"/>
      <c r="ID13" s="425"/>
      <c r="IE13" s="425"/>
      <c r="IF13" s="427">
        <f>((HR13+(HT13*HZ13)+(HU13*IA13)+(HV13*IB13)+(HW13*IC13)+(HX13*ID13))*0.01*0.29)</f>
        <v>24929.675999999999</v>
      </c>
      <c r="IG13" s="428">
        <f t="shared" si="145"/>
        <v>14295.879720000004</v>
      </c>
      <c r="IH13" s="428">
        <f t="shared" si="146"/>
        <v>0</v>
      </c>
      <c r="II13" s="428">
        <f t="shared" si="147"/>
        <v>9722.7175500000012</v>
      </c>
      <c r="IJ13" s="428">
        <f t="shared" si="148"/>
        <v>0</v>
      </c>
      <c r="IK13" s="428">
        <f t="shared" si="149"/>
        <v>48948.273270000005</v>
      </c>
      <c r="IL13" s="429">
        <f t="shared" si="150"/>
        <v>0</v>
      </c>
      <c r="IM13" s="427">
        <f>Sites!AG13</f>
        <v>1052440</v>
      </c>
      <c r="IN13" s="428">
        <f t="shared" si="151"/>
        <v>15786.599999999999</v>
      </c>
      <c r="IO13" s="429">
        <f t="shared" si="152"/>
        <v>37.72</v>
      </c>
      <c r="IP13" s="426">
        <f t="shared" si="153"/>
        <v>1765628.8200560943</v>
      </c>
      <c r="IQ13" s="426">
        <f t="shared" si="154"/>
        <v>947254.03451179701</v>
      </c>
      <c r="IR13" s="430">
        <v>2023</v>
      </c>
      <c r="IS13" s="431"/>
      <c r="IT13" s="431"/>
      <c r="IU13" s="431"/>
      <c r="IV13" s="431"/>
      <c r="IW13" s="428"/>
      <c r="IX13" s="428"/>
      <c r="IY13" s="428">
        <f>IY$4*$IK13</f>
        <v>55123.705844538592</v>
      </c>
      <c r="IZ13" s="428">
        <f t="shared" si="155"/>
        <v>56226.179961429356</v>
      </c>
      <c r="JA13" s="428">
        <f t="shared" si="155"/>
        <v>57350.703560657945</v>
      </c>
      <c r="JB13" s="428">
        <f t="shared" si="155"/>
        <v>58497.717631871106</v>
      </c>
      <c r="JC13" s="428">
        <f t="shared" si="155"/>
        <v>59667.671984508532</v>
      </c>
      <c r="JD13" s="428">
        <f t="shared" si="155"/>
        <v>60861.025424198691</v>
      </c>
      <c r="JE13" s="428">
        <f t="shared" si="155"/>
        <v>62078.245932682672</v>
      </c>
      <c r="JF13" s="428">
        <f t="shared" si="155"/>
        <v>63319.810851336319</v>
      </c>
      <c r="JG13" s="428">
        <f t="shared" si="155"/>
        <v>64586.207068363052</v>
      </c>
      <c r="JH13" s="428">
        <f t="shared" si="155"/>
        <v>65877.931209730305</v>
      </c>
      <c r="JI13" s="428">
        <f t="shared" si="155"/>
        <v>67195.489833924919</v>
      </c>
      <c r="JJ13" s="428">
        <f t="shared" si="156"/>
        <v>68539.399630603424</v>
      </c>
      <c r="JK13" s="428">
        <f t="shared" si="156"/>
        <v>69910.187623215475</v>
      </c>
      <c r="JL13" s="428">
        <f t="shared" si="156"/>
        <v>71308.391375679785</v>
      </c>
      <c r="JM13" s="428">
        <f t="shared" si="156"/>
        <v>72734.559203193392</v>
      </c>
      <c r="JN13" s="428">
        <f t="shared" si="156"/>
        <v>74189.250387257256</v>
      </c>
      <c r="JO13" s="428">
        <f t="shared" si="156"/>
        <v>75673.0353950024</v>
      </c>
      <c r="JP13" s="428">
        <f t="shared" si="156"/>
        <v>77186.496102902442</v>
      </c>
      <c r="JQ13" s="428">
        <f t="shared" si="156"/>
        <v>78730.226024960488</v>
      </c>
      <c r="JR13" s="428">
        <f t="shared" si="156"/>
        <v>80304.830545459699</v>
      </c>
      <c r="JS13" s="428">
        <f t="shared" si="156"/>
        <v>81910.927156368896</v>
      </c>
      <c r="JT13" s="428">
        <f t="shared" si="156"/>
        <v>83549.145699496265</v>
      </c>
      <c r="JU13" s="428">
        <f t="shared" si="156"/>
        <v>85220.128613486202</v>
      </c>
      <c r="JV13" s="428">
        <f t="shared" si="156"/>
        <v>86924.531185755914</v>
      </c>
      <c r="JW13" s="428">
        <f t="shared" si="156"/>
        <v>88663.021809471044</v>
      </c>
      <c r="JX13" s="432"/>
      <c r="JY13" s="435">
        <f t="shared" si="157"/>
        <v>32</v>
      </c>
      <c r="JZ13" s="435">
        <f t="shared" si="158"/>
        <v>0</v>
      </c>
      <c r="KA13" s="435">
        <f t="shared" si="159"/>
        <v>0</v>
      </c>
      <c r="KB13" s="435">
        <f t="shared" si="160"/>
        <v>0</v>
      </c>
      <c r="KC13" s="435">
        <f t="shared" si="161"/>
        <v>0</v>
      </c>
      <c r="KD13" s="435">
        <f t="shared" si="162"/>
        <v>0</v>
      </c>
      <c r="KE13" s="435">
        <f t="shared" si="163"/>
        <v>0</v>
      </c>
      <c r="KF13" s="432">
        <f t="shared" si="164"/>
        <v>328000</v>
      </c>
      <c r="KG13" s="445">
        <f t="shared" si="165"/>
        <v>0</v>
      </c>
      <c r="KH13" s="445">
        <f t="shared" si="166"/>
        <v>0</v>
      </c>
      <c r="KI13" s="445">
        <f t="shared" si="167"/>
        <v>0</v>
      </c>
      <c r="KJ13" s="445">
        <f t="shared" si="168"/>
        <v>0</v>
      </c>
      <c r="KK13" s="445">
        <f t="shared" si="169"/>
        <v>0</v>
      </c>
      <c r="KL13" s="434">
        <v>0</v>
      </c>
      <c r="KM13" s="432">
        <f t="shared" si="170"/>
        <v>0</v>
      </c>
      <c r="KN13" s="432">
        <f t="shared" si="171"/>
        <v>0</v>
      </c>
      <c r="KO13" s="432">
        <f t="shared" si="172"/>
        <v>0</v>
      </c>
      <c r="KP13" s="432">
        <f t="shared" si="173"/>
        <v>0</v>
      </c>
      <c r="KQ13" s="432">
        <f t="shared" si="174"/>
        <v>0</v>
      </c>
      <c r="KR13" s="435">
        <f t="shared" si="175"/>
        <v>0</v>
      </c>
      <c r="KS13" s="434">
        <f t="shared" si="176"/>
        <v>0</v>
      </c>
      <c r="KT13" s="432">
        <f t="shared" si="177"/>
        <v>0</v>
      </c>
      <c r="KU13" s="435">
        <f t="shared" si="178"/>
        <v>52.48</v>
      </c>
      <c r="KV13" s="433">
        <f t="shared" si="179"/>
        <v>0</v>
      </c>
      <c r="KW13" s="433">
        <f t="shared" si="180"/>
        <v>0</v>
      </c>
      <c r="KX13" s="436">
        <f t="shared" si="181"/>
        <v>2023</v>
      </c>
      <c r="KY13" s="411"/>
      <c r="KZ13" s="411"/>
      <c r="LA13" s="411"/>
      <c r="LB13" s="411"/>
      <c r="LC13" s="411"/>
      <c r="LD13" s="411"/>
      <c r="LE13" s="446">
        <f>LE$4*$KQ13</f>
        <v>0</v>
      </c>
      <c r="LF13" s="446">
        <f t="shared" si="182"/>
        <v>0</v>
      </c>
      <c r="LG13" s="446">
        <f t="shared" si="182"/>
        <v>0</v>
      </c>
      <c r="LH13" s="446">
        <f t="shared" si="182"/>
        <v>0</v>
      </c>
      <c r="LI13" s="446">
        <f t="shared" si="182"/>
        <v>0</v>
      </c>
      <c r="LJ13" s="446">
        <f t="shared" si="182"/>
        <v>0</v>
      </c>
      <c r="LK13" s="446">
        <f t="shared" si="182"/>
        <v>0</v>
      </c>
      <c r="LL13" s="446">
        <f t="shared" si="182"/>
        <v>0</v>
      </c>
      <c r="LM13" s="446">
        <f t="shared" si="182"/>
        <v>0</v>
      </c>
      <c r="LN13" s="446">
        <f t="shared" si="182"/>
        <v>0</v>
      </c>
      <c r="LO13" s="446">
        <f t="shared" si="182"/>
        <v>0</v>
      </c>
      <c r="LP13" s="446">
        <f t="shared" si="183"/>
        <v>0</v>
      </c>
      <c r="LQ13" s="446">
        <f t="shared" si="183"/>
        <v>0</v>
      </c>
      <c r="LR13" s="446">
        <f t="shared" si="183"/>
        <v>0</v>
      </c>
      <c r="LS13" s="446">
        <f t="shared" si="183"/>
        <v>0</v>
      </c>
      <c r="LT13" s="446">
        <f t="shared" si="183"/>
        <v>0</v>
      </c>
      <c r="LU13" s="446">
        <f t="shared" si="183"/>
        <v>0</v>
      </c>
      <c r="LV13" s="446">
        <f t="shared" si="183"/>
        <v>0</v>
      </c>
      <c r="LW13" s="446">
        <f t="shared" si="183"/>
        <v>0</v>
      </c>
      <c r="LX13" s="446">
        <f t="shared" si="183"/>
        <v>0</v>
      </c>
      <c r="LY13" s="446">
        <f t="shared" si="183"/>
        <v>0</v>
      </c>
      <c r="LZ13" s="446">
        <f t="shared" si="183"/>
        <v>0</v>
      </c>
      <c r="MA13" s="446">
        <f t="shared" si="183"/>
        <v>0</v>
      </c>
      <c r="MB13" s="446">
        <f t="shared" si="183"/>
        <v>0</v>
      </c>
      <c r="MC13" s="446">
        <f t="shared" si="183"/>
        <v>0</v>
      </c>
      <c r="MD13" s="496"/>
      <c r="ME13" s="497">
        <f t="shared" si="184"/>
        <v>0</v>
      </c>
      <c r="MF13" s="497">
        <f t="shared" si="185"/>
        <v>0</v>
      </c>
      <c r="MG13" s="497">
        <f t="shared" si="186"/>
        <v>0</v>
      </c>
      <c r="MH13" s="497">
        <f t="shared" si="187"/>
        <v>0</v>
      </c>
      <c r="MI13" s="497">
        <f t="shared" si="188"/>
        <v>0</v>
      </c>
      <c r="MJ13" s="498">
        <f t="shared" si="189"/>
        <v>0</v>
      </c>
      <c r="MK13" s="498">
        <f t="shared" si="190"/>
        <v>0</v>
      </c>
      <c r="ML13" s="498">
        <f t="shared" si="191"/>
        <v>0</v>
      </c>
      <c r="MM13" s="498">
        <f t="shared" si="192"/>
        <v>0</v>
      </c>
      <c r="MN13" s="498">
        <f t="shared" si="193"/>
        <v>0</v>
      </c>
      <c r="MO13" s="454"/>
      <c r="MP13" s="448">
        <f t="shared" si="194"/>
        <v>32</v>
      </c>
      <c r="MQ13" s="448">
        <f t="shared" si="195"/>
        <v>0</v>
      </c>
      <c r="MR13" s="448">
        <f t="shared" si="196"/>
        <v>0</v>
      </c>
      <c r="MS13" s="448">
        <f t="shared" si="197"/>
        <v>0</v>
      </c>
      <c r="MT13" s="448">
        <f t="shared" si="198"/>
        <v>0</v>
      </c>
      <c r="MU13" s="448">
        <f t="shared" si="199"/>
        <v>0</v>
      </c>
      <c r="MV13" s="448">
        <f t="shared" si="200"/>
        <v>0</v>
      </c>
      <c r="MW13" s="450">
        <f t="shared" si="201"/>
        <v>328000</v>
      </c>
      <c r="MX13" s="450">
        <f t="shared" si="202"/>
        <v>0</v>
      </c>
      <c r="MY13" s="450">
        <f t="shared" si="203"/>
        <v>0</v>
      </c>
      <c r="MZ13" s="450">
        <f t="shared" si="204"/>
        <v>0</v>
      </c>
      <c r="NA13" s="450">
        <f t="shared" si="205"/>
        <v>0</v>
      </c>
      <c r="NB13" s="450">
        <f t="shared" si="206"/>
        <v>0</v>
      </c>
      <c r="NC13" s="451">
        <f t="shared" si="207"/>
        <v>0</v>
      </c>
      <c r="ND13" s="449">
        <f t="shared" si="208"/>
        <v>0</v>
      </c>
      <c r="NE13" s="449">
        <f t="shared" si="209"/>
        <v>0</v>
      </c>
      <c r="NF13" s="449">
        <f t="shared" si="210"/>
        <v>0</v>
      </c>
      <c r="NG13" s="449">
        <f t="shared" si="211"/>
        <v>0</v>
      </c>
      <c r="NH13" s="449">
        <f t="shared" si="212"/>
        <v>0</v>
      </c>
      <c r="NI13" s="448">
        <f t="shared" si="213"/>
        <v>0</v>
      </c>
      <c r="NJ13" s="451">
        <f t="shared" si="214"/>
        <v>0</v>
      </c>
      <c r="NK13" s="449">
        <f t="shared" si="215"/>
        <v>0</v>
      </c>
      <c r="NL13" s="448">
        <f t="shared" si="216"/>
        <v>52.48</v>
      </c>
      <c r="NM13" s="452">
        <f t="shared" si="217"/>
        <v>0</v>
      </c>
      <c r="NN13" s="452">
        <f t="shared" si="218"/>
        <v>0</v>
      </c>
      <c r="NO13" s="453">
        <f t="shared" si="219"/>
        <v>2023</v>
      </c>
      <c r="NP13" s="423"/>
      <c r="NQ13" s="423"/>
      <c r="NR13" s="423"/>
      <c r="NS13" s="423"/>
      <c r="NT13" s="423"/>
      <c r="NU13" s="423"/>
      <c r="NV13" s="454">
        <f>NV$4*$NH13</f>
        <v>0</v>
      </c>
      <c r="NW13" s="454">
        <f t="shared" si="220"/>
        <v>0</v>
      </c>
      <c r="NX13" s="454">
        <f t="shared" si="220"/>
        <v>0</v>
      </c>
      <c r="NY13" s="454">
        <f t="shared" si="220"/>
        <v>0</v>
      </c>
      <c r="NZ13" s="454">
        <f t="shared" si="220"/>
        <v>0</v>
      </c>
      <c r="OA13" s="454">
        <f t="shared" si="220"/>
        <v>0</v>
      </c>
      <c r="OB13" s="454">
        <f t="shared" si="220"/>
        <v>0</v>
      </c>
      <c r="OC13" s="454">
        <f t="shared" si="220"/>
        <v>0</v>
      </c>
      <c r="OD13" s="454">
        <f t="shared" si="220"/>
        <v>0</v>
      </c>
      <c r="OE13" s="454">
        <f t="shared" si="220"/>
        <v>0</v>
      </c>
      <c r="OF13" s="454">
        <f t="shared" si="220"/>
        <v>0</v>
      </c>
      <c r="OG13" s="454">
        <f t="shared" si="221"/>
        <v>0</v>
      </c>
      <c r="OH13" s="454">
        <f t="shared" si="221"/>
        <v>0</v>
      </c>
      <c r="OI13" s="454">
        <f t="shared" si="221"/>
        <v>0</v>
      </c>
      <c r="OJ13" s="454">
        <f t="shared" si="221"/>
        <v>0</v>
      </c>
      <c r="OK13" s="454">
        <f t="shared" si="221"/>
        <v>0</v>
      </c>
      <c r="OL13" s="454">
        <f t="shared" si="221"/>
        <v>0</v>
      </c>
      <c r="OM13" s="454">
        <f t="shared" si="221"/>
        <v>0</v>
      </c>
      <c r="ON13" s="454">
        <f t="shared" si="221"/>
        <v>0</v>
      </c>
      <c r="OO13" s="454">
        <f t="shared" si="221"/>
        <v>0</v>
      </c>
      <c r="OP13" s="454">
        <f t="shared" si="221"/>
        <v>0</v>
      </c>
      <c r="OQ13" s="454">
        <f t="shared" si="221"/>
        <v>0</v>
      </c>
      <c r="OR13" s="454">
        <f t="shared" si="221"/>
        <v>0</v>
      </c>
      <c r="OS13" s="454">
        <f t="shared" si="221"/>
        <v>0</v>
      </c>
      <c r="OT13" s="454">
        <f t="shared" si="221"/>
        <v>0</v>
      </c>
    </row>
    <row r="14" spans="1:410" s="11" customFormat="1" ht="30">
      <c r="A14" s="19" t="s">
        <v>66</v>
      </c>
      <c r="B14" s="19" t="s">
        <v>67</v>
      </c>
      <c r="C14" s="19" t="s">
        <v>680</v>
      </c>
      <c r="D14" s="19">
        <v>3</v>
      </c>
      <c r="E14" s="19" t="s">
        <v>293</v>
      </c>
      <c r="F14" s="19" t="s">
        <v>420</v>
      </c>
      <c r="G14" s="22" t="s">
        <v>74</v>
      </c>
      <c r="H14" s="22"/>
      <c r="I14" s="442">
        <v>32038</v>
      </c>
      <c r="J14" s="20"/>
      <c r="K14" s="20"/>
      <c r="L14" s="20"/>
      <c r="M14" s="20"/>
      <c r="N14" s="20"/>
      <c r="O14" s="442">
        <f t="shared" si="3"/>
        <v>0</v>
      </c>
      <c r="P14" s="21"/>
      <c r="Q14" s="21" t="s">
        <v>69</v>
      </c>
      <c r="R14" s="27">
        <f t="shared" si="4"/>
        <v>71.195555555555558</v>
      </c>
      <c r="S14" s="27">
        <v>3</v>
      </c>
      <c r="T14" s="27">
        <f>I14*S14</f>
        <v>96114</v>
      </c>
      <c r="U14" s="21">
        <v>45</v>
      </c>
      <c r="V14" s="19"/>
      <c r="W14" s="22" t="s">
        <v>75</v>
      </c>
      <c r="X14" s="19" t="s">
        <v>37</v>
      </c>
      <c r="Y14" s="19"/>
      <c r="Z14" s="19"/>
      <c r="AA14" s="219"/>
      <c r="AB14" s="219"/>
      <c r="AC14" s="224">
        <v>40</v>
      </c>
      <c r="AD14" s="224">
        <f t="shared" si="5"/>
        <v>1281520</v>
      </c>
      <c r="AE14" s="223">
        <f>40*I14</f>
        <v>1281520</v>
      </c>
      <c r="AF14" s="276" t="s">
        <v>238</v>
      </c>
      <c r="AG14" s="220">
        <f t="shared" si="6"/>
        <v>1281520</v>
      </c>
      <c r="AH14" s="220">
        <f t="shared" si="7"/>
        <v>1281520</v>
      </c>
      <c r="AI14" s="24" t="s">
        <v>254</v>
      </c>
      <c r="AJ14" s="228">
        <f>VLOOKUP($Q14,'Zoning Density'!$A$1:$E$28,3,)</f>
        <v>450</v>
      </c>
      <c r="AK14" s="228">
        <f t="shared" si="8"/>
        <v>450</v>
      </c>
      <c r="AL14" s="229">
        <f t="shared" si="9"/>
        <v>71.195555555555558</v>
      </c>
      <c r="AM14" s="229">
        <f t="shared" si="10"/>
        <v>71.195555555555558</v>
      </c>
      <c r="AN14" s="228">
        <v>3</v>
      </c>
      <c r="AO14" s="221">
        <f>VLOOKUP($AI14,Funding!$A$1:$G$6,3,FALSE)*$AG14</f>
        <v>1281520</v>
      </c>
      <c r="AP14" s="221">
        <f>VLOOKUP($AI14,Funding!$A$1:$G$6,4,FALSE)*$AG14</f>
        <v>1281520</v>
      </c>
      <c r="AQ14" s="351">
        <v>40</v>
      </c>
      <c r="AR14" s="274" t="s">
        <v>277</v>
      </c>
      <c r="AS14" s="222">
        <f t="shared" si="11"/>
        <v>40</v>
      </c>
      <c r="AT14" s="222"/>
      <c r="AU14" s="222">
        <f t="shared" si="12"/>
        <v>40</v>
      </c>
      <c r="AV14" s="221">
        <f>VLOOKUP($AN14,'Impact Fee'!$A$1:$E$20,5,FALSE)*AU14</f>
        <v>480000</v>
      </c>
      <c r="AW14" s="221">
        <f t="shared" si="13"/>
        <v>0</v>
      </c>
      <c r="AX14" s="221"/>
      <c r="AY14" s="321"/>
      <c r="AZ14" s="221">
        <f t="shared" si="14"/>
        <v>480000</v>
      </c>
      <c r="BA14" s="221">
        <f t="shared" si="15"/>
        <v>1761520</v>
      </c>
      <c r="BB14" s="221">
        <f t="shared" si="16"/>
        <v>1761520</v>
      </c>
      <c r="BC14" s="271">
        <f t="shared" si="222"/>
        <v>14.09216</v>
      </c>
      <c r="BD14" s="271">
        <f t="shared" si="223"/>
        <v>14.09216</v>
      </c>
      <c r="BE14" s="271"/>
      <c r="BF14" s="221">
        <f t="shared" si="17"/>
        <v>13120000</v>
      </c>
      <c r="BG14" s="221">
        <f t="shared" si="18"/>
        <v>0</v>
      </c>
      <c r="BH14" s="221">
        <f t="shared" si="19"/>
        <v>0</v>
      </c>
      <c r="BI14" s="221">
        <f t="shared" si="20"/>
        <v>0</v>
      </c>
      <c r="BJ14" s="221">
        <f t="shared" si="21"/>
        <v>0</v>
      </c>
      <c r="BK14" s="221">
        <f t="shared" si="22"/>
        <v>0</v>
      </c>
      <c r="BL14" s="221">
        <f t="shared" si="23"/>
        <v>0</v>
      </c>
      <c r="BM14" s="221">
        <f t="shared" si="24"/>
        <v>0</v>
      </c>
      <c r="BN14" s="259"/>
      <c r="BO14" s="260"/>
      <c r="BP14" s="259">
        <f t="shared" si="25"/>
        <v>40</v>
      </c>
      <c r="BQ14" s="261">
        <v>1</v>
      </c>
      <c r="BR14" s="261">
        <f>IF(BQ14&gt;0.2,0.35,VLOOKUP(BQ14,'Density Bonus'!$A$1:$B$15,2,FALSE))</f>
        <v>0.35</v>
      </c>
      <c r="BS14" s="262">
        <f t="shared" si="26"/>
        <v>54</v>
      </c>
      <c r="BT14" s="234">
        <v>40</v>
      </c>
      <c r="BU14" s="349"/>
      <c r="BV14" s="263">
        <f t="shared" si="28"/>
        <v>40</v>
      </c>
      <c r="BW14" s="263">
        <f t="shared" si="29"/>
        <v>0</v>
      </c>
      <c r="BX14" s="264">
        <f t="shared" si="30"/>
        <v>0</v>
      </c>
      <c r="BY14" s="264">
        <f>IF(BQ14&lt;0.15,(VLOOKUP($AN14,'Impact Fee'!$A$1:$E$10,5,FALSE)*BW14),0)</f>
        <v>0</v>
      </c>
      <c r="BZ14" s="264">
        <f t="shared" si="31"/>
        <v>0</v>
      </c>
      <c r="CA14" s="264">
        <f t="shared" si="32"/>
        <v>0</v>
      </c>
      <c r="CB14" s="264">
        <f t="shared" si="33"/>
        <v>0</v>
      </c>
      <c r="CC14" s="264">
        <f t="shared" si="34"/>
        <v>0</v>
      </c>
      <c r="CD14" s="264">
        <f t="shared" si="35"/>
        <v>0</v>
      </c>
      <c r="CE14" s="264">
        <f>CD14*IF(F14="Commercial",CE$3,VLOOKUP($AI14,Funding!$A$1:$G$6,5,FALSE))</f>
        <v>0</v>
      </c>
      <c r="CF14" s="264">
        <f t="shared" si="36"/>
        <v>0</v>
      </c>
      <c r="CG14" s="264">
        <f t="shared" si="37"/>
        <v>-4070080</v>
      </c>
      <c r="CH14" s="264">
        <f t="shared" si="38"/>
        <v>-4070080</v>
      </c>
      <c r="CI14" s="264"/>
      <c r="CJ14" s="264">
        <f t="shared" si="39"/>
        <v>13120000</v>
      </c>
      <c r="CK14" s="264">
        <f t="shared" si="40"/>
        <v>0</v>
      </c>
      <c r="CL14" s="264">
        <f t="shared" si="41"/>
        <v>0</v>
      </c>
      <c r="CM14" s="264">
        <f t="shared" si="42"/>
        <v>0</v>
      </c>
      <c r="CN14" s="264">
        <f t="shared" si="43"/>
        <v>0</v>
      </c>
      <c r="CO14" s="264">
        <f t="shared" si="44"/>
        <v>0</v>
      </c>
      <c r="CP14" s="264">
        <f t="shared" si="45"/>
        <v>0</v>
      </c>
      <c r="CQ14" s="264">
        <f t="shared" si="46"/>
        <v>0</v>
      </c>
      <c r="CR14" s="264">
        <f t="shared" si="47"/>
        <v>0</v>
      </c>
      <c r="CS14" s="520"/>
      <c r="CT14" s="521"/>
      <c r="CU14" s="520">
        <f t="shared" si="48"/>
        <v>40</v>
      </c>
      <c r="CV14" s="522">
        <v>0.15</v>
      </c>
      <c r="CW14" s="522">
        <f>IF(CV14&gt;0.2,0.35,VLOOKUP(CV14,'Density Bonus'!$A$1:$B$15,2,FALSE))</f>
        <v>0.27500000000000002</v>
      </c>
      <c r="CX14" s="523">
        <f t="shared" si="49"/>
        <v>51</v>
      </c>
      <c r="CY14" s="234">
        <f>$AQ14</f>
        <v>40</v>
      </c>
      <c r="CZ14" s="347"/>
      <c r="DA14" s="524">
        <f t="shared" si="51"/>
        <v>6</v>
      </c>
      <c r="DB14" s="524">
        <f t="shared" si="52"/>
        <v>34</v>
      </c>
      <c r="DC14" s="525">
        <f t="shared" si="53"/>
        <v>0</v>
      </c>
      <c r="DD14" s="525">
        <f>IF(CV14&lt;0.4,VLOOKUP($AN14,'Impact Fee'!$A$1:$E$10,5,FALSE)*DB14,0)</f>
        <v>408000</v>
      </c>
      <c r="DE14" s="525">
        <f t="shared" si="54"/>
        <v>408000</v>
      </c>
      <c r="DF14" s="525">
        <f t="shared" si="55"/>
        <v>1689520</v>
      </c>
      <c r="DG14" s="525">
        <f t="shared" si="56"/>
        <v>1347398.4</v>
      </c>
      <c r="DH14" s="525">
        <f t="shared" si="57"/>
        <v>1017520</v>
      </c>
      <c r="DI14" s="525">
        <f t="shared" si="58"/>
        <v>342121.60000000009</v>
      </c>
      <c r="DJ14" s="525">
        <f t="shared" si="59"/>
        <v>342121.60000000009</v>
      </c>
      <c r="DK14" s="525">
        <f t="shared" si="60"/>
        <v>0</v>
      </c>
      <c r="DL14" s="525">
        <f t="shared" si="61"/>
        <v>0</v>
      </c>
      <c r="DM14" s="525">
        <f t="shared" si="62"/>
        <v>0</v>
      </c>
      <c r="DN14" s="525">
        <f t="shared" si="63"/>
        <v>0</v>
      </c>
      <c r="DO14" s="525">
        <f>VLOOKUP($AI14,Funding!$A$1:$G$6,6,FALSE)*DN14</f>
        <v>0</v>
      </c>
      <c r="DP14" s="525">
        <f t="shared" si="64"/>
        <v>342121.60000000009</v>
      </c>
      <c r="DQ14" s="525">
        <f t="shared" si="65"/>
        <v>0</v>
      </c>
      <c r="DR14" s="525">
        <f t="shared" si="66"/>
        <v>342121.60000000009</v>
      </c>
      <c r="DS14" s="525"/>
      <c r="DT14" s="525">
        <f t="shared" si="67"/>
        <v>13120000</v>
      </c>
      <c r="DU14" s="525">
        <f t="shared" si="68"/>
        <v>0</v>
      </c>
      <c r="DV14" s="525">
        <f t="shared" si="69"/>
        <v>0</v>
      </c>
      <c r="DW14" s="525">
        <f t="shared" si="70"/>
        <v>0</v>
      </c>
      <c r="DX14" s="525">
        <f t="shared" si="71"/>
        <v>0</v>
      </c>
      <c r="DY14" s="525">
        <f t="shared" si="72"/>
        <v>0</v>
      </c>
      <c r="DZ14" s="525">
        <f t="shared" si="73"/>
        <v>0</v>
      </c>
      <c r="EA14" s="819"/>
      <c r="EB14" s="820"/>
      <c r="EC14" s="819">
        <f t="shared" si="74"/>
        <v>40</v>
      </c>
      <c r="ED14" s="821">
        <v>0.15</v>
      </c>
      <c r="EE14" s="821">
        <f>IF(ED14&gt;0.2,0.35,VLOOKUP(ED14,'Density Bonus'!$A$1:$B$15,2,FALSE))</f>
        <v>0.27500000000000002</v>
      </c>
      <c r="EF14" s="822">
        <f t="shared" si="75"/>
        <v>51</v>
      </c>
      <c r="EG14" s="822">
        <f>$AQ14</f>
        <v>40</v>
      </c>
      <c r="EH14" s="823"/>
      <c r="EI14" s="824">
        <f t="shared" si="77"/>
        <v>6</v>
      </c>
      <c r="EJ14" s="824">
        <f t="shared" si="78"/>
        <v>34</v>
      </c>
      <c r="EK14" s="825">
        <f t="shared" si="79"/>
        <v>0</v>
      </c>
      <c r="EL14" s="825">
        <f>IF(ED14&lt;0.4,VLOOKUP($AN14,'Impact Fee'!$A$1:$E$10,5,FALSE)*EJ14,0)</f>
        <v>408000</v>
      </c>
      <c r="EM14" s="825">
        <f t="shared" si="80"/>
        <v>408000</v>
      </c>
      <c r="EN14" s="825">
        <f t="shared" si="81"/>
        <v>1689520</v>
      </c>
      <c r="EO14" s="825">
        <f t="shared" si="82"/>
        <v>1347398.4</v>
      </c>
      <c r="EP14" s="825">
        <f t="shared" si="83"/>
        <v>1017520</v>
      </c>
      <c r="EQ14" s="825">
        <f t="shared" si="84"/>
        <v>342121.60000000009</v>
      </c>
      <c r="ER14" s="825">
        <f t="shared" si="85"/>
        <v>342121.60000000009</v>
      </c>
      <c r="ES14" s="825">
        <f t="shared" si="86"/>
        <v>0</v>
      </c>
      <c r="ET14" s="825">
        <f t="shared" si="87"/>
        <v>0</v>
      </c>
      <c r="EU14" s="825">
        <f t="shared" si="88"/>
        <v>0</v>
      </c>
      <c r="EV14" s="825">
        <f t="shared" si="89"/>
        <v>0</v>
      </c>
      <c r="EW14" s="825">
        <f>VLOOKUP($AI14,Funding!$A$1:$G$6,6,FALSE)*EV14</f>
        <v>0</v>
      </c>
      <c r="EX14" s="825">
        <f t="shared" si="90"/>
        <v>342121.60000000009</v>
      </c>
      <c r="EY14" s="825">
        <f t="shared" si="91"/>
        <v>0</v>
      </c>
      <c r="EZ14" s="825">
        <f t="shared" si="92"/>
        <v>342121.60000000009</v>
      </c>
      <c r="FA14" s="825"/>
      <c r="FB14" s="825">
        <f t="shared" si="93"/>
        <v>13120000</v>
      </c>
      <c r="FC14" s="825">
        <f t="shared" si="94"/>
        <v>0</v>
      </c>
      <c r="FD14" s="825">
        <f t="shared" si="95"/>
        <v>0</v>
      </c>
      <c r="FE14" s="825">
        <f t="shared" si="96"/>
        <v>0</v>
      </c>
      <c r="FF14" s="825">
        <f t="shared" si="97"/>
        <v>0</v>
      </c>
      <c r="FG14" s="825">
        <f t="shared" si="98"/>
        <v>0</v>
      </c>
      <c r="FH14" s="825">
        <f t="shared" si="99"/>
        <v>0</v>
      </c>
      <c r="FI14" s="545"/>
      <c r="FJ14" s="546"/>
      <c r="FK14" s="546"/>
      <c r="FL14" s="545">
        <f t="shared" si="100"/>
        <v>40</v>
      </c>
      <c r="FM14" s="547">
        <v>0.15</v>
      </c>
      <c r="FN14" s="547">
        <f>IF(FM14&gt;0.2,0.35,VLOOKUP(FM14,'Density Bonus'!$A$1:$B$15,2,FALSE))</f>
        <v>0.27500000000000002</v>
      </c>
      <c r="FO14" s="548">
        <f t="shared" si="101"/>
        <v>51</v>
      </c>
      <c r="FP14" s="234">
        <f>$AQ14</f>
        <v>40</v>
      </c>
      <c r="FQ14" s="347"/>
      <c r="FR14" s="549">
        <f t="shared" si="103"/>
        <v>6</v>
      </c>
      <c r="FS14" s="549">
        <f t="shared" si="104"/>
        <v>34</v>
      </c>
      <c r="FT14" s="550">
        <f t="shared" si="105"/>
        <v>0</v>
      </c>
      <c r="FU14" s="550">
        <f>IF(FM14&lt;0.15,(VLOOKUP($AN14,'Impact Fee'!$A$1:$E$10,5,FALSE)*FS14),0)</f>
        <v>0</v>
      </c>
      <c r="FV14" s="550">
        <f t="shared" si="106"/>
        <v>0</v>
      </c>
      <c r="FW14" s="550">
        <f t="shared" si="107"/>
        <v>1281520</v>
      </c>
      <c r="FX14" s="550">
        <f t="shared" si="108"/>
        <v>1347398.4</v>
      </c>
      <c r="FY14" s="550">
        <f t="shared" si="109"/>
        <v>0</v>
      </c>
      <c r="FZ14" s="550">
        <f t="shared" si="110"/>
        <v>0</v>
      </c>
      <c r="GA14" s="550">
        <f>VLOOKUP($AI14,Funding!$A$1:$G$6,3,FALSE)*FZ14</f>
        <v>0</v>
      </c>
      <c r="GB14" s="550">
        <f t="shared" si="111"/>
        <v>0</v>
      </c>
      <c r="GC14" s="550">
        <f t="shared" si="112"/>
        <v>-65878.399999999907</v>
      </c>
      <c r="GD14" s="550">
        <f t="shared" si="113"/>
        <v>-65878.399999999907</v>
      </c>
      <c r="GE14" s="550"/>
      <c r="GF14" s="550">
        <f t="shared" si="114"/>
        <v>13120000</v>
      </c>
      <c r="GG14" s="550">
        <f t="shared" si="115"/>
        <v>0</v>
      </c>
      <c r="GH14" s="550">
        <f t="shared" si="116"/>
        <v>0</v>
      </c>
      <c r="GI14" s="550">
        <f t="shared" si="117"/>
        <v>0</v>
      </c>
      <c r="GJ14" s="550">
        <f t="shared" si="118"/>
        <v>0</v>
      </c>
      <c r="GK14" s="550">
        <f t="shared" si="119"/>
        <v>0</v>
      </c>
      <c r="GL14" s="550">
        <f t="shared" si="120"/>
        <v>0</v>
      </c>
      <c r="GM14" s="550">
        <f t="shared" si="121"/>
        <v>0</v>
      </c>
      <c r="GN14" s="550">
        <f t="shared" si="122"/>
        <v>0</v>
      </c>
      <c r="GO14" s="199"/>
      <c r="GP14" s="275"/>
      <c r="GQ14" s="199">
        <f t="shared" si="123"/>
        <v>40</v>
      </c>
      <c r="GR14" s="34">
        <v>1</v>
      </c>
      <c r="GS14" s="34">
        <f>IF(GR14&gt;0.2,0.35,VLOOKUP(GR14,'Density Bonus'!$A$1:$B$15,2,FALSE))</f>
        <v>0.35</v>
      </c>
      <c r="GT14" s="235">
        <f t="shared" si="124"/>
        <v>54</v>
      </c>
      <c r="GU14" s="234">
        <f>$AQ14</f>
        <v>40</v>
      </c>
      <c r="GV14" s="347"/>
      <c r="GW14" s="31">
        <f t="shared" si="126"/>
        <v>40</v>
      </c>
      <c r="GX14" s="31">
        <f t="shared" si="127"/>
        <v>0</v>
      </c>
      <c r="GY14" s="196" t="str">
        <f t="shared" si="128"/>
        <v/>
      </c>
      <c r="GZ14" s="238">
        <f t="shared" si="129"/>
        <v>0</v>
      </c>
      <c r="HA14" s="238">
        <f t="shared" si="130"/>
        <v>0</v>
      </c>
      <c r="HB14" s="238">
        <f t="shared" si="131"/>
        <v>0</v>
      </c>
      <c r="HC14" s="238">
        <f t="shared" si="224"/>
        <v>0</v>
      </c>
      <c r="HD14" s="238">
        <f>VLOOKUP($AI14,Funding!$A$1:$G$6,7,FALSE)*HC14</f>
        <v>0</v>
      </c>
      <c r="HE14" s="238">
        <f t="shared" si="225"/>
        <v>0</v>
      </c>
      <c r="HF14" s="238">
        <f t="shared" si="226"/>
        <v>-4070080</v>
      </c>
      <c r="HG14" s="238">
        <f t="shared" si="132"/>
        <v>-4070080</v>
      </c>
      <c r="HH14" s="238"/>
      <c r="HI14" s="238">
        <f t="shared" si="133"/>
        <v>13120000</v>
      </c>
      <c r="HJ14" s="238">
        <f t="shared" si="134"/>
        <v>0</v>
      </c>
      <c r="HK14" s="238">
        <f t="shared" si="135"/>
        <v>0</v>
      </c>
      <c r="HL14" s="238">
        <f t="shared" si="136"/>
        <v>0</v>
      </c>
      <c r="HM14" s="238">
        <f t="shared" si="137"/>
        <v>0</v>
      </c>
      <c r="HN14" s="238">
        <f t="shared" si="138"/>
        <v>0</v>
      </c>
      <c r="HO14" s="238">
        <f t="shared" si="139"/>
        <v>0</v>
      </c>
      <c r="HP14" s="397"/>
      <c r="HQ14" s="424"/>
      <c r="HR14" s="426">
        <f t="shared" si="140"/>
        <v>1281520</v>
      </c>
      <c r="HS14" s="425">
        <f t="shared" si="141"/>
        <v>0</v>
      </c>
      <c r="HT14" s="425">
        <f t="shared" si="142"/>
        <v>40</v>
      </c>
      <c r="HU14" s="429">
        <f t="shared" si="228"/>
        <v>0</v>
      </c>
      <c r="HV14" s="429">
        <f t="shared" si="227"/>
        <v>0</v>
      </c>
      <c r="HW14" s="429">
        <f t="shared" si="227"/>
        <v>0</v>
      </c>
      <c r="HX14" s="429">
        <f t="shared" si="227"/>
        <v>0</v>
      </c>
      <c r="HY14" s="429">
        <f t="shared" si="227"/>
        <v>0</v>
      </c>
      <c r="HZ14" s="426">
        <f t="shared" si="144"/>
        <v>328000</v>
      </c>
      <c r="IA14" s="426"/>
      <c r="IB14" s="426"/>
      <c r="IC14" s="425"/>
      <c r="ID14" s="425"/>
      <c r="IE14" s="425"/>
      <c r="IF14" s="427">
        <f>((HR14+(HT14*HZ14)+(HU14*IA14)+(HV14*IB14)+(HW14*IC14)+(HX14*ID14))*0.01*0.29)</f>
        <v>41764.408000000003</v>
      </c>
      <c r="IG14" s="428">
        <f t="shared" si="145"/>
        <v>23949.727760000002</v>
      </c>
      <c r="IH14" s="428">
        <f t="shared" si="146"/>
        <v>0</v>
      </c>
      <c r="II14" s="428">
        <f t="shared" si="147"/>
        <v>16909.074000000001</v>
      </c>
      <c r="IJ14" s="428">
        <f t="shared" si="148"/>
        <v>0</v>
      </c>
      <c r="IK14" s="428">
        <f t="shared" si="149"/>
        <v>82623.209759999998</v>
      </c>
      <c r="IL14" s="429">
        <f t="shared" si="150"/>
        <v>0</v>
      </c>
      <c r="IM14" s="427">
        <f>Sites!AG14</f>
        <v>1281520</v>
      </c>
      <c r="IN14" s="428">
        <f t="shared" si="151"/>
        <v>19222.8</v>
      </c>
      <c r="IO14" s="429">
        <f t="shared" si="152"/>
        <v>65.599999999999994</v>
      </c>
      <c r="IP14" s="426">
        <f t="shared" si="153"/>
        <v>2887281.0705188359</v>
      </c>
      <c r="IQ14" s="426">
        <f t="shared" si="154"/>
        <v>1585835.9147835644</v>
      </c>
      <c r="IR14" s="430">
        <v>2024</v>
      </c>
      <c r="IS14" s="431"/>
      <c r="IT14" s="431"/>
      <c r="IU14" s="431"/>
      <c r="IV14" s="431"/>
      <c r="IW14" s="428"/>
      <c r="IX14" s="428"/>
      <c r="IY14" s="428"/>
      <c r="IZ14" s="428">
        <f t="shared" si="155"/>
        <v>94908.096866492095</v>
      </c>
      <c r="JA14" s="428">
        <f t="shared" si="155"/>
        <v>96806.25880382194</v>
      </c>
      <c r="JB14" s="428">
        <f t="shared" si="155"/>
        <v>98742.383979898383</v>
      </c>
      <c r="JC14" s="428">
        <f t="shared" si="155"/>
        <v>100717.23165949635</v>
      </c>
      <c r="JD14" s="428">
        <f t="shared" si="155"/>
        <v>102731.57629268627</v>
      </c>
      <c r="JE14" s="428">
        <f t="shared" si="155"/>
        <v>104786.20781854</v>
      </c>
      <c r="JF14" s="428">
        <f t="shared" si="155"/>
        <v>106881.9319749108</v>
      </c>
      <c r="JG14" s="428">
        <f t="shared" si="155"/>
        <v>109019.57061440902</v>
      </c>
      <c r="JH14" s="428">
        <f t="shared" si="155"/>
        <v>111199.96202669718</v>
      </c>
      <c r="JI14" s="428">
        <f t="shared" si="155"/>
        <v>113423.96126723113</v>
      </c>
      <c r="JJ14" s="428">
        <f t="shared" si="156"/>
        <v>115692.44049257577</v>
      </c>
      <c r="JK14" s="428">
        <f t="shared" si="156"/>
        <v>118006.28930242726</v>
      </c>
      <c r="JL14" s="428">
        <f t="shared" si="156"/>
        <v>120366.41508847581</v>
      </c>
      <c r="JM14" s="428">
        <f t="shared" si="156"/>
        <v>122773.74339024533</v>
      </c>
      <c r="JN14" s="428">
        <f t="shared" si="156"/>
        <v>125229.21825805024</v>
      </c>
      <c r="JO14" s="428">
        <f t="shared" si="156"/>
        <v>127733.80262321125</v>
      </c>
      <c r="JP14" s="428">
        <f t="shared" si="156"/>
        <v>130288.47867567545</v>
      </c>
      <c r="JQ14" s="428">
        <f t="shared" si="156"/>
        <v>132894.24824918897</v>
      </c>
      <c r="JR14" s="428">
        <f t="shared" si="156"/>
        <v>135552.13321417273</v>
      </c>
      <c r="JS14" s="428">
        <f t="shared" si="156"/>
        <v>138263.17587845621</v>
      </c>
      <c r="JT14" s="428">
        <f t="shared" si="156"/>
        <v>141028.43939602532</v>
      </c>
      <c r="JU14" s="428">
        <f t="shared" si="156"/>
        <v>143849.00818394584</v>
      </c>
      <c r="JV14" s="428">
        <f t="shared" si="156"/>
        <v>146725.98834762475</v>
      </c>
      <c r="JW14" s="428">
        <f t="shared" si="156"/>
        <v>149660.50811457724</v>
      </c>
      <c r="JX14" s="432"/>
      <c r="JY14" s="435">
        <f t="shared" si="157"/>
        <v>40</v>
      </c>
      <c r="JZ14" s="435">
        <f t="shared" si="158"/>
        <v>0</v>
      </c>
      <c r="KA14" s="435">
        <f t="shared" si="159"/>
        <v>0</v>
      </c>
      <c r="KB14" s="435">
        <f t="shared" si="160"/>
        <v>0</v>
      </c>
      <c r="KC14" s="435">
        <f t="shared" si="161"/>
        <v>0</v>
      </c>
      <c r="KD14" s="435">
        <f t="shared" si="162"/>
        <v>0</v>
      </c>
      <c r="KE14" s="435">
        <f t="shared" si="163"/>
        <v>0</v>
      </c>
      <c r="KF14" s="432">
        <f t="shared" si="164"/>
        <v>328000</v>
      </c>
      <c r="KG14" s="445">
        <f t="shared" si="165"/>
        <v>0</v>
      </c>
      <c r="KH14" s="445">
        <f t="shared" si="166"/>
        <v>0</v>
      </c>
      <c r="KI14" s="445">
        <f t="shared" si="167"/>
        <v>0</v>
      </c>
      <c r="KJ14" s="445">
        <f t="shared" si="168"/>
        <v>0</v>
      </c>
      <c r="KK14" s="445">
        <f t="shared" si="169"/>
        <v>0</v>
      </c>
      <c r="KL14" s="434">
        <v>0</v>
      </c>
      <c r="KM14" s="432">
        <f t="shared" si="170"/>
        <v>0</v>
      </c>
      <c r="KN14" s="432">
        <f t="shared" si="171"/>
        <v>0</v>
      </c>
      <c r="KO14" s="432">
        <f t="shared" si="172"/>
        <v>0</v>
      </c>
      <c r="KP14" s="432">
        <f t="shared" si="173"/>
        <v>0</v>
      </c>
      <c r="KQ14" s="432">
        <f t="shared" si="174"/>
        <v>0</v>
      </c>
      <c r="KR14" s="435">
        <f t="shared" si="175"/>
        <v>0</v>
      </c>
      <c r="KS14" s="434">
        <f t="shared" si="176"/>
        <v>0</v>
      </c>
      <c r="KT14" s="432">
        <f t="shared" si="177"/>
        <v>0</v>
      </c>
      <c r="KU14" s="435">
        <f t="shared" si="178"/>
        <v>65.599999999999994</v>
      </c>
      <c r="KV14" s="433">
        <f t="shared" si="179"/>
        <v>0</v>
      </c>
      <c r="KW14" s="433">
        <f t="shared" si="180"/>
        <v>0</v>
      </c>
      <c r="KX14" s="436">
        <f t="shared" si="181"/>
        <v>2024</v>
      </c>
      <c r="KY14" s="411"/>
      <c r="KZ14" s="411"/>
      <c r="LA14" s="411"/>
      <c r="LB14" s="411"/>
      <c r="LC14" s="411"/>
      <c r="LD14" s="411"/>
      <c r="LE14" s="411"/>
      <c r="LF14" s="446">
        <f t="shared" si="182"/>
        <v>0</v>
      </c>
      <c r="LG14" s="446">
        <f t="shared" si="182"/>
        <v>0</v>
      </c>
      <c r="LH14" s="446">
        <f t="shared" si="182"/>
        <v>0</v>
      </c>
      <c r="LI14" s="446">
        <f t="shared" si="182"/>
        <v>0</v>
      </c>
      <c r="LJ14" s="446">
        <f t="shared" si="182"/>
        <v>0</v>
      </c>
      <c r="LK14" s="446">
        <f t="shared" si="182"/>
        <v>0</v>
      </c>
      <c r="LL14" s="446">
        <f t="shared" si="182"/>
        <v>0</v>
      </c>
      <c r="LM14" s="446">
        <f t="shared" si="182"/>
        <v>0</v>
      </c>
      <c r="LN14" s="446">
        <f t="shared" si="182"/>
        <v>0</v>
      </c>
      <c r="LO14" s="446">
        <f t="shared" si="182"/>
        <v>0</v>
      </c>
      <c r="LP14" s="446">
        <f t="shared" si="183"/>
        <v>0</v>
      </c>
      <c r="LQ14" s="446">
        <f t="shared" si="183"/>
        <v>0</v>
      </c>
      <c r="LR14" s="446">
        <f t="shared" si="183"/>
        <v>0</v>
      </c>
      <c r="LS14" s="446">
        <f t="shared" si="183"/>
        <v>0</v>
      </c>
      <c r="LT14" s="446">
        <f t="shared" si="183"/>
        <v>0</v>
      </c>
      <c r="LU14" s="446">
        <f t="shared" si="183"/>
        <v>0</v>
      </c>
      <c r="LV14" s="446">
        <f t="shared" si="183"/>
        <v>0</v>
      </c>
      <c r="LW14" s="446">
        <f t="shared" si="183"/>
        <v>0</v>
      </c>
      <c r="LX14" s="446">
        <f t="shared" si="183"/>
        <v>0</v>
      </c>
      <c r="LY14" s="446">
        <f t="shared" si="183"/>
        <v>0</v>
      </c>
      <c r="LZ14" s="446">
        <f t="shared" si="183"/>
        <v>0</v>
      </c>
      <c r="MA14" s="446">
        <f t="shared" si="183"/>
        <v>0</v>
      </c>
      <c r="MB14" s="446">
        <f t="shared" si="183"/>
        <v>0</v>
      </c>
      <c r="MC14" s="446">
        <f t="shared" si="183"/>
        <v>0</v>
      </c>
      <c r="MD14" s="496"/>
      <c r="ME14" s="497">
        <f t="shared" si="184"/>
        <v>0</v>
      </c>
      <c r="MF14" s="497">
        <f t="shared" si="185"/>
        <v>0</v>
      </c>
      <c r="MG14" s="497">
        <f t="shared" si="186"/>
        <v>0</v>
      </c>
      <c r="MH14" s="497">
        <f t="shared" si="187"/>
        <v>0</v>
      </c>
      <c r="MI14" s="497">
        <f t="shared" si="188"/>
        <v>0</v>
      </c>
      <c r="MJ14" s="498">
        <f t="shared" si="189"/>
        <v>0</v>
      </c>
      <c r="MK14" s="498">
        <f t="shared" si="190"/>
        <v>0</v>
      </c>
      <c r="ML14" s="498">
        <f t="shared" si="191"/>
        <v>0</v>
      </c>
      <c r="MM14" s="498">
        <f t="shared" si="192"/>
        <v>0</v>
      </c>
      <c r="MN14" s="498">
        <f t="shared" si="193"/>
        <v>0</v>
      </c>
      <c r="MO14" s="454"/>
      <c r="MP14" s="448">
        <f t="shared" si="194"/>
        <v>40</v>
      </c>
      <c r="MQ14" s="448">
        <f t="shared" si="195"/>
        <v>0</v>
      </c>
      <c r="MR14" s="448">
        <f t="shared" si="196"/>
        <v>0</v>
      </c>
      <c r="MS14" s="448">
        <f t="shared" si="197"/>
        <v>0</v>
      </c>
      <c r="MT14" s="448">
        <f t="shared" si="198"/>
        <v>0</v>
      </c>
      <c r="MU14" s="448">
        <f t="shared" si="199"/>
        <v>0</v>
      </c>
      <c r="MV14" s="448">
        <f t="shared" si="200"/>
        <v>0</v>
      </c>
      <c r="MW14" s="450">
        <f t="shared" si="201"/>
        <v>328000</v>
      </c>
      <c r="MX14" s="450">
        <f t="shared" si="202"/>
        <v>0</v>
      </c>
      <c r="MY14" s="450">
        <f t="shared" si="203"/>
        <v>0</v>
      </c>
      <c r="MZ14" s="450">
        <f t="shared" si="204"/>
        <v>0</v>
      </c>
      <c r="NA14" s="450">
        <f t="shared" si="205"/>
        <v>0</v>
      </c>
      <c r="NB14" s="450">
        <f t="shared" si="206"/>
        <v>0</v>
      </c>
      <c r="NC14" s="451">
        <f t="shared" si="207"/>
        <v>0</v>
      </c>
      <c r="ND14" s="449">
        <f t="shared" si="208"/>
        <v>0</v>
      </c>
      <c r="NE14" s="449">
        <f t="shared" si="209"/>
        <v>0</v>
      </c>
      <c r="NF14" s="449">
        <f t="shared" si="210"/>
        <v>0</v>
      </c>
      <c r="NG14" s="449">
        <f t="shared" si="211"/>
        <v>0</v>
      </c>
      <c r="NH14" s="449">
        <f t="shared" si="212"/>
        <v>0</v>
      </c>
      <c r="NI14" s="448">
        <f t="shared" si="213"/>
        <v>0</v>
      </c>
      <c r="NJ14" s="451">
        <f t="shared" si="214"/>
        <v>0</v>
      </c>
      <c r="NK14" s="449">
        <f t="shared" si="215"/>
        <v>0</v>
      </c>
      <c r="NL14" s="448">
        <f t="shared" si="216"/>
        <v>65.599999999999994</v>
      </c>
      <c r="NM14" s="452">
        <f t="shared" si="217"/>
        <v>0</v>
      </c>
      <c r="NN14" s="452">
        <f t="shared" si="218"/>
        <v>0</v>
      </c>
      <c r="NO14" s="453">
        <f t="shared" si="219"/>
        <v>2024</v>
      </c>
      <c r="NP14" s="423"/>
      <c r="NQ14" s="423"/>
      <c r="NR14" s="423"/>
      <c r="NS14" s="423"/>
      <c r="NT14" s="423"/>
      <c r="NU14" s="423"/>
      <c r="NV14" s="423"/>
      <c r="NW14" s="454">
        <f t="shared" si="220"/>
        <v>0</v>
      </c>
      <c r="NX14" s="454">
        <f t="shared" si="220"/>
        <v>0</v>
      </c>
      <c r="NY14" s="454">
        <f t="shared" si="220"/>
        <v>0</v>
      </c>
      <c r="NZ14" s="454">
        <f t="shared" si="220"/>
        <v>0</v>
      </c>
      <c r="OA14" s="454">
        <f t="shared" si="220"/>
        <v>0</v>
      </c>
      <c r="OB14" s="454">
        <f t="shared" si="220"/>
        <v>0</v>
      </c>
      <c r="OC14" s="454">
        <f t="shared" si="220"/>
        <v>0</v>
      </c>
      <c r="OD14" s="454">
        <f t="shared" si="220"/>
        <v>0</v>
      </c>
      <c r="OE14" s="454">
        <f t="shared" si="220"/>
        <v>0</v>
      </c>
      <c r="OF14" s="454">
        <f t="shared" si="220"/>
        <v>0</v>
      </c>
      <c r="OG14" s="454">
        <f t="shared" si="221"/>
        <v>0</v>
      </c>
      <c r="OH14" s="454">
        <f t="shared" si="221"/>
        <v>0</v>
      </c>
      <c r="OI14" s="454">
        <f t="shared" si="221"/>
        <v>0</v>
      </c>
      <c r="OJ14" s="454">
        <f t="shared" si="221"/>
        <v>0</v>
      </c>
      <c r="OK14" s="454">
        <f t="shared" si="221"/>
        <v>0</v>
      </c>
      <c r="OL14" s="454">
        <f t="shared" si="221"/>
        <v>0</v>
      </c>
      <c r="OM14" s="454">
        <f t="shared" si="221"/>
        <v>0</v>
      </c>
      <c r="ON14" s="454">
        <f t="shared" si="221"/>
        <v>0</v>
      </c>
      <c r="OO14" s="454">
        <f t="shared" si="221"/>
        <v>0</v>
      </c>
      <c r="OP14" s="454">
        <f t="shared" si="221"/>
        <v>0</v>
      </c>
      <c r="OQ14" s="454">
        <f t="shared" si="221"/>
        <v>0</v>
      </c>
      <c r="OR14" s="454">
        <f t="shared" si="221"/>
        <v>0</v>
      </c>
      <c r="OS14" s="454">
        <f t="shared" si="221"/>
        <v>0</v>
      </c>
      <c r="OT14" s="454">
        <f t="shared" si="221"/>
        <v>0</v>
      </c>
    </row>
    <row r="15" spans="1:410" s="11" customFormat="1" ht="30">
      <c r="A15" s="19" t="s">
        <v>576</v>
      </c>
      <c r="B15" s="19" t="s">
        <v>437</v>
      </c>
      <c r="C15" s="19" t="s">
        <v>436</v>
      </c>
      <c r="D15" s="19">
        <v>3</v>
      </c>
      <c r="E15" s="19" t="s">
        <v>293</v>
      </c>
      <c r="F15" s="19" t="s">
        <v>420</v>
      </c>
      <c r="G15" s="23">
        <v>23</v>
      </c>
      <c r="H15" s="23"/>
      <c r="I15" s="442">
        <f>6720+6000</f>
        <v>12720</v>
      </c>
      <c r="J15" s="20"/>
      <c r="K15" s="20"/>
      <c r="L15" s="20"/>
      <c r="M15" s="20"/>
      <c r="N15" s="20"/>
      <c r="O15" s="442">
        <f t="shared" si="3"/>
        <v>0</v>
      </c>
      <c r="P15" s="21"/>
      <c r="Q15" s="21" t="s">
        <v>46</v>
      </c>
      <c r="R15" s="27">
        <f t="shared" si="4"/>
        <v>28.266666666666666</v>
      </c>
      <c r="S15" s="457">
        <v>2.5</v>
      </c>
      <c r="T15" s="27">
        <f>I15*S15</f>
        <v>31800</v>
      </c>
      <c r="U15" s="21">
        <v>45</v>
      </c>
      <c r="V15" s="19" t="s">
        <v>438</v>
      </c>
      <c r="W15" s="22" t="s">
        <v>26</v>
      </c>
      <c r="X15" s="19" t="s">
        <v>63</v>
      </c>
      <c r="Y15" s="19"/>
      <c r="Z15" s="19" t="s">
        <v>8</v>
      </c>
      <c r="AA15" s="219" t="s">
        <v>93</v>
      </c>
      <c r="AB15" s="219" t="s">
        <v>79</v>
      </c>
      <c r="AC15" s="224">
        <v>65</v>
      </c>
      <c r="AD15" s="224">
        <f t="shared" si="5"/>
        <v>826800</v>
      </c>
      <c r="AE15" s="24"/>
      <c r="AF15" s="273"/>
      <c r="AG15" s="220">
        <f t="shared" si="6"/>
        <v>826800</v>
      </c>
      <c r="AH15" s="220">
        <f t="shared" si="7"/>
        <v>826800</v>
      </c>
      <c r="AI15" s="24" t="s">
        <v>248</v>
      </c>
      <c r="AJ15" s="228">
        <f>VLOOKUP($Q15,'Zoning Density'!$A$1:$E$28,3,)</f>
        <v>450</v>
      </c>
      <c r="AK15" s="228">
        <f t="shared" si="8"/>
        <v>450</v>
      </c>
      <c r="AL15" s="229">
        <f t="shared" si="9"/>
        <v>28.266666666666666</v>
      </c>
      <c r="AM15" s="229">
        <f t="shared" si="10"/>
        <v>28.266666666666666</v>
      </c>
      <c r="AN15" s="228">
        <v>3</v>
      </c>
      <c r="AO15" s="221">
        <f>VLOOKUP($AI15,Funding!$A$1:$G$6,3,FALSE)*$AG15</f>
        <v>0</v>
      </c>
      <c r="AP15" s="221">
        <f>VLOOKUP($AI15,Funding!$A$1:$G$6,4,FALSE)*$AG15</f>
        <v>826800</v>
      </c>
      <c r="AQ15" s="351">
        <v>8</v>
      </c>
      <c r="AR15" s="274"/>
      <c r="AS15" s="222">
        <f t="shared" si="11"/>
        <v>8</v>
      </c>
      <c r="AT15" s="222"/>
      <c r="AU15" s="222">
        <f t="shared" si="12"/>
        <v>8</v>
      </c>
      <c r="AV15" s="221">
        <f>VLOOKUP($AN15,'Impact Fee'!$A$1:$E$20,5,FALSE)*AU15</f>
        <v>96000</v>
      </c>
      <c r="AW15" s="221">
        <f t="shared" si="13"/>
        <v>0</v>
      </c>
      <c r="AX15" s="221"/>
      <c r="AY15" s="321"/>
      <c r="AZ15" s="221">
        <f t="shared" si="14"/>
        <v>96000</v>
      </c>
      <c r="BA15" s="221">
        <f t="shared" si="15"/>
        <v>96000</v>
      </c>
      <c r="BB15" s="221">
        <f t="shared" si="16"/>
        <v>922800</v>
      </c>
      <c r="BC15" s="271">
        <f t="shared" si="222"/>
        <v>0.76800000000000002</v>
      </c>
      <c r="BD15" s="271">
        <f t="shared" si="223"/>
        <v>7.3823999999999996</v>
      </c>
      <c r="BE15" s="271"/>
      <c r="BF15" s="221">
        <f t="shared" si="17"/>
        <v>2624000</v>
      </c>
      <c r="BG15" s="221">
        <f t="shared" si="18"/>
        <v>0</v>
      </c>
      <c r="BH15" s="221">
        <f t="shared" si="19"/>
        <v>0</v>
      </c>
      <c r="BI15" s="221">
        <f t="shared" si="20"/>
        <v>0</v>
      </c>
      <c r="BJ15" s="221">
        <f t="shared" si="21"/>
        <v>0</v>
      </c>
      <c r="BK15" s="221">
        <f t="shared" si="22"/>
        <v>0</v>
      </c>
      <c r="BL15" s="221">
        <f t="shared" si="23"/>
        <v>0</v>
      </c>
      <c r="BM15" s="221">
        <f t="shared" si="24"/>
        <v>0</v>
      </c>
      <c r="BN15" s="259"/>
      <c r="BO15" s="260"/>
      <c r="BP15" s="259">
        <f t="shared" si="25"/>
        <v>8</v>
      </c>
      <c r="BQ15" s="261">
        <v>1</v>
      </c>
      <c r="BR15" s="261">
        <f>IF(BQ15&gt;0.2,0.35,VLOOKUP(BQ15,'Density Bonus'!$A$1:$B$15,2,FALSE))</f>
        <v>0.35</v>
      </c>
      <c r="BS15" s="262">
        <f t="shared" si="26"/>
        <v>10.8</v>
      </c>
      <c r="BT15" s="234">
        <v>8</v>
      </c>
      <c r="BU15" s="349"/>
      <c r="BV15" s="263">
        <f t="shared" si="28"/>
        <v>8</v>
      </c>
      <c r="BW15" s="263">
        <f t="shared" si="29"/>
        <v>0</v>
      </c>
      <c r="BX15" s="264">
        <f t="shared" si="30"/>
        <v>0</v>
      </c>
      <c r="BY15" s="264">
        <f>IF(BQ15&lt;0.15,(VLOOKUP($AN15,'Impact Fee'!$A$1:$E$10,5,FALSE)*BW15),0)</f>
        <v>0</v>
      </c>
      <c r="BZ15" s="264">
        <f t="shared" si="31"/>
        <v>0</v>
      </c>
      <c r="CA15" s="264">
        <f t="shared" si="32"/>
        <v>0</v>
      </c>
      <c r="CB15" s="264">
        <f t="shared" si="33"/>
        <v>0</v>
      </c>
      <c r="CC15" s="264">
        <f t="shared" si="34"/>
        <v>0</v>
      </c>
      <c r="CD15" s="264">
        <f t="shared" si="35"/>
        <v>0</v>
      </c>
      <c r="CE15" s="264">
        <f>CD15*IF(F15="Commercial",CE$3,VLOOKUP($AI15,Funding!$A$1:$G$6,5,FALSE))</f>
        <v>0</v>
      </c>
      <c r="CF15" s="264">
        <f t="shared" si="36"/>
        <v>0</v>
      </c>
      <c r="CG15" s="264">
        <f t="shared" si="37"/>
        <v>-814016</v>
      </c>
      <c r="CH15" s="264">
        <f t="shared" si="38"/>
        <v>-814016</v>
      </c>
      <c r="CI15" s="264"/>
      <c r="CJ15" s="264">
        <f t="shared" si="39"/>
        <v>2624000</v>
      </c>
      <c r="CK15" s="264">
        <f t="shared" si="40"/>
        <v>0</v>
      </c>
      <c r="CL15" s="264">
        <f t="shared" si="41"/>
        <v>0</v>
      </c>
      <c r="CM15" s="264">
        <f t="shared" si="42"/>
        <v>0</v>
      </c>
      <c r="CN15" s="264">
        <f t="shared" si="43"/>
        <v>0</v>
      </c>
      <c r="CO15" s="264">
        <f t="shared" si="44"/>
        <v>0</v>
      </c>
      <c r="CP15" s="264">
        <f t="shared" si="45"/>
        <v>0</v>
      </c>
      <c r="CQ15" s="264">
        <f t="shared" si="46"/>
        <v>0</v>
      </c>
      <c r="CR15" s="264">
        <f t="shared" si="47"/>
        <v>0</v>
      </c>
      <c r="CS15" s="520"/>
      <c r="CT15" s="521"/>
      <c r="CU15" s="520">
        <f t="shared" si="48"/>
        <v>8</v>
      </c>
      <c r="CV15" s="522">
        <v>1</v>
      </c>
      <c r="CW15" s="522">
        <f>IF(CV15&gt;0.2,0.35,VLOOKUP(CV15,'Density Bonus'!$A$1:$B$15,2,FALSE))</f>
        <v>0.35</v>
      </c>
      <c r="CX15" s="523">
        <f t="shared" si="49"/>
        <v>10.8</v>
      </c>
      <c r="CY15" s="234">
        <v>8</v>
      </c>
      <c r="CZ15" s="347"/>
      <c r="DA15" s="524">
        <f t="shared" si="51"/>
        <v>8</v>
      </c>
      <c r="DB15" s="524">
        <f t="shared" si="52"/>
        <v>0</v>
      </c>
      <c r="DC15" s="525">
        <f t="shared" si="53"/>
        <v>0</v>
      </c>
      <c r="DD15" s="525">
        <f>IF(CV15&lt;0.4,VLOOKUP($AN15,'Impact Fee'!$A$1:$E$10,5,FALSE)*DB15,0)</f>
        <v>0</v>
      </c>
      <c r="DE15" s="525">
        <f t="shared" si="54"/>
        <v>0</v>
      </c>
      <c r="DF15" s="525">
        <f t="shared" si="55"/>
        <v>0</v>
      </c>
      <c r="DG15" s="525">
        <f t="shared" si="56"/>
        <v>814016</v>
      </c>
      <c r="DH15" s="525">
        <f t="shared" si="57"/>
        <v>0</v>
      </c>
      <c r="DI15" s="525">
        <f t="shared" si="58"/>
        <v>-814016</v>
      </c>
      <c r="DJ15" s="525">
        <f t="shared" si="59"/>
        <v>0</v>
      </c>
      <c r="DK15" s="525">
        <f t="shared" si="60"/>
        <v>0</v>
      </c>
      <c r="DL15" s="525">
        <f t="shared" si="61"/>
        <v>0</v>
      </c>
      <c r="DM15" s="525">
        <f t="shared" si="62"/>
        <v>0</v>
      </c>
      <c r="DN15" s="525">
        <f t="shared" si="63"/>
        <v>0</v>
      </c>
      <c r="DO15" s="525">
        <f>VLOOKUP($AI15,Funding!$A$1:$G$6,6,FALSE)*DN15</f>
        <v>0</v>
      </c>
      <c r="DP15" s="525">
        <f t="shared" si="64"/>
        <v>0</v>
      </c>
      <c r="DQ15" s="525">
        <f t="shared" si="65"/>
        <v>-814016</v>
      </c>
      <c r="DR15" s="525">
        <f t="shared" si="66"/>
        <v>-814016</v>
      </c>
      <c r="DS15" s="525"/>
      <c r="DT15" s="525">
        <f t="shared" si="67"/>
        <v>2624000</v>
      </c>
      <c r="DU15" s="525">
        <f t="shared" si="68"/>
        <v>0</v>
      </c>
      <c r="DV15" s="525">
        <f t="shared" si="69"/>
        <v>0</v>
      </c>
      <c r="DW15" s="525">
        <f t="shared" si="70"/>
        <v>0</v>
      </c>
      <c r="DX15" s="525">
        <f t="shared" si="71"/>
        <v>0</v>
      </c>
      <c r="DY15" s="525">
        <f t="shared" si="72"/>
        <v>0</v>
      </c>
      <c r="DZ15" s="525">
        <f t="shared" si="73"/>
        <v>0</v>
      </c>
      <c r="EA15" s="819"/>
      <c r="EB15" s="820"/>
      <c r="EC15" s="819">
        <f t="shared" si="74"/>
        <v>8</v>
      </c>
      <c r="ED15" s="821">
        <v>1</v>
      </c>
      <c r="EE15" s="821">
        <f>IF(ED15&gt;0.2,0.35,VLOOKUP(ED15,'Density Bonus'!$A$1:$B$15,2,FALSE))</f>
        <v>0.35</v>
      </c>
      <c r="EF15" s="822">
        <f t="shared" si="75"/>
        <v>10.8</v>
      </c>
      <c r="EG15" s="822">
        <v>8</v>
      </c>
      <c r="EH15" s="823"/>
      <c r="EI15" s="824">
        <f t="shared" si="77"/>
        <v>8</v>
      </c>
      <c r="EJ15" s="824">
        <f t="shared" si="78"/>
        <v>0</v>
      </c>
      <c r="EK15" s="825">
        <f t="shared" si="79"/>
        <v>0</v>
      </c>
      <c r="EL15" s="825">
        <f>IF(ED15&lt;0.4,VLOOKUP($AN15,'Impact Fee'!$A$1:$E$10,5,FALSE)*EJ15,0)</f>
        <v>0</v>
      </c>
      <c r="EM15" s="825">
        <f t="shared" si="80"/>
        <v>0</v>
      </c>
      <c r="EN15" s="825">
        <f t="shared" si="81"/>
        <v>0</v>
      </c>
      <c r="EO15" s="825">
        <f t="shared" si="82"/>
        <v>814016</v>
      </c>
      <c r="EP15" s="825">
        <f t="shared" si="83"/>
        <v>0</v>
      </c>
      <c r="EQ15" s="825">
        <f t="shared" si="84"/>
        <v>-814016</v>
      </c>
      <c r="ER15" s="825">
        <f t="shared" si="85"/>
        <v>0</v>
      </c>
      <c r="ES15" s="825">
        <f t="shared" si="86"/>
        <v>0</v>
      </c>
      <c r="ET15" s="825">
        <f t="shared" si="87"/>
        <v>0</v>
      </c>
      <c r="EU15" s="825">
        <f t="shared" si="88"/>
        <v>0</v>
      </c>
      <c r="EV15" s="825">
        <f t="shared" si="89"/>
        <v>0</v>
      </c>
      <c r="EW15" s="825">
        <f>VLOOKUP($AI15,Funding!$A$1:$G$6,6,FALSE)*EV15</f>
        <v>0</v>
      </c>
      <c r="EX15" s="825">
        <f t="shared" si="90"/>
        <v>0</v>
      </c>
      <c r="EY15" s="825">
        <f t="shared" si="91"/>
        <v>-814016</v>
      </c>
      <c r="EZ15" s="825">
        <f t="shared" si="92"/>
        <v>-814016</v>
      </c>
      <c r="FA15" s="825"/>
      <c r="FB15" s="825">
        <f t="shared" si="93"/>
        <v>2624000</v>
      </c>
      <c r="FC15" s="825">
        <f t="shared" si="94"/>
        <v>0</v>
      </c>
      <c r="FD15" s="825">
        <f t="shared" si="95"/>
        <v>0</v>
      </c>
      <c r="FE15" s="825">
        <f t="shared" si="96"/>
        <v>0</v>
      </c>
      <c r="FF15" s="825">
        <f t="shared" si="97"/>
        <v>0</v>
      </c>
      <c r="FG15" s="825">
        <f t="shared" si="98"/>
        <v>0</v>
      </c>
      <c r="FH15" s="825">
        <f t="shared" si="99"/>
        <v>0</v>
      </c>
      <c r="FI15" s="545"/>
      <c r="FJ15" s="546"/>
      <c r="FK15" s="546"/>
      <c r="FL15" s="545">
        <f t="shared" si="100"/>
        <v>8</v>
      </c>
      <c r="FM15" s="547">
        <v>0</v>
      </c>
      <c r="FN15" s="547">
        <f>IF(FM15&gt;0.2,0.35,VLOOKUP(FM15,'Density Bonus'!$A$1:$B$15,2,FALSE))</f>
        <v>0</v>
      </c>
      <c r="FO15" s="548">
        <f t="shared" si="101"/>
        <v>8</v>
      </c>
      <c r="FP15" s="234">
        <v>8</v>
      </c>
      <c r="FQ15" s="347"/>
      <c r="FR15" s="549">
        <f t="shared" si="103"/>
        <v>0</v>
      </c>
      <c r="FS15" s="549">
        <f t="shared" si="104"/>
        <v>8</v>
      </c>
      <c r="FT15" s="550">
        <f t="shared" si="105"/>
        <v>0</v>
      </c>
      <c r="FU15" s="550">
        <f>IF(FM15&lt;0.15,(VLOOKUP($AN15,'Impact Fee'!$A$1:$E$10,5,FALSE)*FS15),0)</f>
        <v>96000</v>
      </c>
      <c r="FV15" s="550">
        <f t="shared" si="106"/>
        <v>96000</v>
      </c>
      <c r="FW15" s="550">
        <f t="shared" si="107"/>
        <v>826800</v>
      </c>
      <c r="FX15" s="550">
        <f t="shared" si="108"/>
        <v>0</v>
      </c>
      <c r="FY15" s="550">
        <f t="shared" si="109"/>
        <v>0</v>
      </c>
      <c r="FZ15" s="550">
        <f t="shared" si="110"/>
        <v>826800</v>
      </c>
      <c r="GA15" s="550">
        <f>VLOOKUP($AI15,Funding!$A$1:$G$6,3,FALSE)*FZ15</f>
        <v>0</v>
      </c>
      <c r="GB15" s="550">
        <f t="shared" si="111"/>
        <v>96000</v>
      </c>
      <c r="GC15" s="550">
        <f t="shared" si="112"/>
        <v>0</v>
      </c>
      <c r="GD15" s="550">
        <f t="shared" si="113"/>
        <v>96000</v>
      </c>
      <c r="GE15" s="550"/>
      <c r="GF15" s="550">
        <f t="shared" si="114"/>
        <v>2624000</v>
      </c>
      <c r="GG15" s="550">
        <f t="shared" si="115"/>
        <v>0</v>
      </c>
      <c r="GH15" s="550">
        <f t="shared" si="116"/>
        <v>0</v>
      </c>
      <c r="GI15" s="550">
        <f t="shared" si="117"/>
        <v>0</v>
      </c>
      <c r="GJ15" s="550">
        <f t="shared" si="118"/>
        <v>0</v>
      </c>
      <c r="GK15" s="550">
        <f t="shared" si="119"/>
        <v>0</v>
      </c>
      <c r="GL15" s="550">
        <f t="shared" si="120"/>
        <v>0</v>
      </c>
      <c r="GM15" s="550">
        <f t="shared" si="121"/>
        <v>0</v>
      </c>
      <c r="GN15" s="550">
        <f t="shared" si="122"/>
        <v>0</v>
      </c>
      <c r="GO15" s="199"/>
      <c r="GP15" s="275"/>
      <c r="GQ15" s="199">
        <f t="shared" si="123"/>
        <v>8</v>
      </c>
      <c r="GR15" s="34">
        <v>1</v>
      </c>
      <c r="GS15" s="34">
        <f>IF(GR15&gt;0.2,0.35,VLOOKUP(GR15,'Density Bonus'!$A$1:$B$15,2,FALSE))</f>
        <v>0.35</v>
      </c>
      <c r="GT15" s="235">
        <f t="shared" si="124"/>
        <v>10.8</v>
      </c>
      <c r="GU15" s="234">
        <v>8</v>
      </c>
      <c r="GV15" s="347"/>
      <c r="GW15" s="31">
        <f t="shared" si="126"/>
        <v>8</v>
      </c>
      <c r="GX15" s="31">
        <f t="shared" si="127"/>
        <v>0</v>
      </c>
      <c r="GY15" s="196" t="str">
        <f t="shared" si="128"/>
        <v/>
      </c>
      <c r="GZ15" s="238">
        <f t="shared" si="129"/>
        <v>0</v>
      </c>
      <c r="HA15" s="238">
        <f t="shared" si="130"/>
        <v>0</v>
      </c>
      <c r="HB15" s="238">
        <f t="shared" si="131"/>
        <v>0</v>
      </c>
      <c r="HC15" s="238">
        <f t="shared" si="224"/>
        <v>0</v>
      </c>
      <c r="HD15" s="238">
        <f>VLOOKUP($AI15,Funding!$A$1:$G$6,7,FALSE)*HC15</f>
        <v>0</v>
      </c>
      <c r="HE15" s="238">
        <f t="shared" si="225"/>
        <v>0</v>
      </c>
      <c r="HF15" s="238">
        <f t="shared" si="226"/>
        <v>-814016</v>
      </c>
      <c r="HG15" s="238">
        <f t="shared" si="132"/>
        <v>-814016</v>
      </c>
      <c r="HH15" s="238"/>
      <c r="HI15" s="238">
        <f t="shared" si="133"/>
        <v>2624000</v>
      </c>
      <c r="HJ15" s="238">
        <f t="shared" si="134"/>
        <v>0</v>
      </c>
      <c r="HK15" s="238">
        <f t="shared" si="135"/>
        <v>0</v>
      </c>
      <c r="HL15" s="238">
        <f t="shared" si="136"/>
        <v>0</v>
      </c>
      <c r="HM15" s="238">
        <f t="shared" si="137"/>
        <v>0</v>
      </c>
      <c r="HN15" s="238">
        <f t="shared" si="138"/>
        <v>0</v>
      </c>
      <c r="HO15" s="238">
        <f t="shared" si="139"/>
        <v>0</v>
      </c>
      <c r="HP15" s="397"/>
      <c r="HQ15" s="424"/>
      <c r="HR15" s="426">
        <f t="shared" si="140"/>
        <v>826800</v>
      </c>
      <c r="HS15" s="425">
        <f t="shared" si="141"/>
        <v>0</v>
      </c>
      <c r="HT15" s="425">
        <f t="shared" si="142"/>
        <v>8</v>
      </c>
      <c r="HU15" s="429">
        <f t="shared" si="228"/>
        <v>0</v>
      </c>
      <c r="HV15" s="429">
        <f t="shared" si="227"/>
        <v>0</v>
      </c>
      <c r="HW15" s="429">
        <f t="shared" si="227"/>
        <v>0</v>
      </c>
      <c r="HX15" s="429">
        <f t="shared" si="227"/>
        <v>0</v>
      </c>
      <c r="HY15" s="429">
        <f t="shared" si="227"/>
        <v>0</v>
      </c>
      <c r="HZ15" s="426">
        <f t="shared" si="144"/>
        <v>328000</v>
      </c>
      <c r="IA15" s="426"/>
      <c r="IB15" s="426"/>
      <c r="IC15" s="425"/>
      <c r="ID15" s="425"/>
      <c r="IE15" s="425"/>
      <c r="IF15" s="427">
        <f>(($HR15+((HS15+HT15)*HZ15)+(HU15*IA15)+(HV15*IB15)+(HW15*IC15)+(HX15*ID15))*0.01*0.29)</f>
        <v>10007.32</v>
      </c>
      <c r="IG15" s="428">
        <f t="shared" si="145"/>
        <v>5738.6804000000011</v>
      </c>
      <c r="IH15" s="428">
        <f t="shared" si="146"/>
        <v>0</v>
      </c>
      <c r="II15" s="428">
        <f t="shared" si="147"/>
        <v>3381.8148000000001</v>
      </c>
      <c r="IJ15" s="428">
        <f t="shared" si="148"/>
        <v>0</v>
      </c>
      <c r="IK15" s="428">
        <f t="shared" si="149"/>
        <v>19127.815200000001</v>
      </c>
      <c r="IL15" s="429">
        <f t="shared" si="150"/>
        <v>0</v>
      </c>
      <c r="IM15" s="427">
        <f>Sites!AG15</f>
        <v>826800</v>
      </c>
      <c r="IN15" s="428">
        <f t="shared" si="151"/>
        <v>12402</v>
      </c>
      <c r="IO15" s="429">
        <f t="shared" si="152"/>
        <v>13.12</v>
      </c>
      <c r="IP15" s="426">
        <f t="shared" si="153"/>
        <v>668424.51301231643</v>
      </c>
      <c r="IQ15" s="426">
        <f t="shared" si="154"/>
        <v>367131.41989538429</v>
      </c>
      <c r="IR15" s="430">
        <v>2024</v>
      </c>
      <c r="IS15" s="431"/>
      <c r="IT15" s="431"/>
      <c r="IU15" s="431"/>
      <c r="IV15" s="428"/>
      <c r="IW15" s="428"/>
      <c r="IX15" s="428"/>
      <c r="IY15" s="428"/>
      <c r="IZ15" s="428">
        <f t="shared" si="155"/>
        <v>21971.847173684044</v>
      </c>
      <c r="JA15" s="428">
        <f t="shared" si="155"/>
        <v>22411.284117157727</v>
      </c>
      <c r="JB15" s="428">
        <f t="shared" si="155"/>
        <v>22859.50979950088</v>
      </c>
      <c r="JC15" s="428">
        <f t="shared" si="155"/>
        <v>23316.699995490901</v>
      </c>
      <c r="JD15" s="428">
        <f t="shared" si="155"/>
        <v>23783.033995400714</v>
      </c>
      <c r="JE15" s="428">
        <f t="shared" si="155"/>
        <v>24258.694675308732</v>
      </c>
      <c r="JF15" s="428">
        <f t="shared" si="155"/>
        <v>24743.868568814905</v>
      </c>
      <c r="JG15" s="428">
        <f t="shared" si="155"/>
        <v>25238.745940191206</v>
      </c>
      <c r="JH15" s="428">
        <f t="shared" si="155"/>
        <v>25743.520858995023</v>
      </c>
      <c r="JI15" s="428">
        <f t="shared" si="155"/>
        <v>26258.391276174927</v>
      </c>
      <c r="JJ15" s="428">
        <f t="shared" si="156"/>
        <v>26783.559101698429</v>
      </c>
      <c r="JK15" s="428">
        <f t="shared" si="156"/>
        <v>27319.230283732395</v>
      </c>
      <c r="JL15" s="428">
        <f t="shared" si="156"/>
        <v>27865.614889407039</v>
      </c>
      <c r="JM15" s="428">
        <f t="shared" si="156"/>
        <v>28422.927187195186</v>
      </c>
      <c r="JN15" s="428">
        <f t="shared" si="156"/>
        <v>28991.385730939084</v>
      </c>
      <c r="JO15" s="428">
        <f t="shared" si="156"/>
        <v>29571.213445557871</v>
      </c>
      <c r="JP15" s="428">
        <f t="shared" si="156"/>
        <v>30162.63771446902</v>
      </c>
      <c r="JQ15" s="428">
        <f t="shared" si="156"/>
        <v>30765.890468758404</v>
      </c>
      <c r="JR15" s="428">
        <f t="shared" si="156"/>
        <v>31381.20827813357</v>
      </c>
      <c r="JS15" s="428">
        <f t="shared" si="156"/>
        <v>32008.832443696247</v>
      </c>
      <c r="JT15" s="428">
        <f t="shared" si="156"/>
        <v>32649.009092570166</v>
      </c>
      <c r="JU15" s="428">
        <f t="shared" si="156"/>
        <v>33301.989274421576</v>
      </c>
      <c r="JV15" s="428">
        <f t="shared" si="156"/>
        <v>33968.029059910004</v>
      </c>
      <c r="JW15" s="428">
        <f t="shared" si="156"/>
        <v>34647.389641108202</v>
      </c>
      <c r="JX15" s="432"/>
      <c r="JY15" s="435">
        <f t="shared" si="157"/>
        <v>8</v>
      </c>
      <c r="JZ15" s="435">
        <f t="shared" si="158"/>
        <v>0</v>
      </c>
      <c r="KA15" s="435">
        <f t="shared" si="159"/>
        <v>0</v>
      </c>
      <c r="KB15" s="435">
        <f t="shared" si="160"/>
        <v>0</v>
      </c>
      <c r="KC15" s="435">
        <f t="shared" si="161"/>
        <v>0</v>
      </c>
      <c r="KD15" s="435">
        <f t="shared" si="162"/>
        <v>0</v>
      </c>
      <c r="KE15" s="435">
        <f t="shared" si="163"/>
        <v>0</v>
      </c>
      <c r="KF15" s="432">
        <f t="shared" si="164"/>
        <v>328000</v>
      </c>
      <c r="KG15" s="445">
        <f t="shared" si="165"/>
        <v>0</v>
      </c>
      <c r="KH15" s="445">
        <f t="shared" si="166"/>
        <v>0</v>
      </c>
      <c r="KI15" s="445">
        <f t="shared" si="167"/>
        <v>0</v>
      </c>
      <c r="KJ15" s="445">
        <f t="shared" si="168"/>
        <v>0</v>
      </c>
      <c r="KK15" s="445">
        <f t="shared" si="169"/>
        <v>0</v>
      </c>
      <c r="KL15" s="434">
        <f>(($HR15+(JZ15*KF15)+(KA15*KG15)+(KB15*KH15)+(KC15*KI15)+(KD15*KJ15))*0.01*0.29)</f>
        <v>2397.7199999999998</v>
      </c>
      <c r="KM15" s="432">
        <f t="shared" si="170"/>
        <v>1374.9684000000002</v>
      </c>
      <c r="KN15" s="432">
        <f t="shared" si="171"/>
        <v>0</v>
      </c>
      <c r="KO15" s="432">
        <f t="shared" si="172"/>
        <v>0</v>
      </c>
      <c r="KP15" s="432">
        <f t="shared" si="173"/>
        <v>0</v>
      </c>
      <c r="KQ15" s="432">
        <f t="shared" si="174"/>
        <v>3772.6884</v>
      </c>
      <c r="KR15" s="435">
        <f t="shared" si="175"/>
        <v>0</v>
      </c>
      <c r="KS15" s="434">
        <f t="shared" si="176"/>
        <v>0</v>
      </c>
      <c r="KT15" s="432">
        <f t="shared" si="177"/>
        <v>0</v>
      </c>
      <c r="KU15" s="435">
        <f t="shared" si="178"/>
        <v>13.12</v>
      </c>
      <c r="KV15" s="433">
        <f t="shared" si="179"/>
        <v>131837.18998483496</v>
      </c>
      <c r="KW15" s="433">
        <f t="shared" si="180"/>
        <v>72411.429880127922</v>
      </c>
      <c r="KX15" s="436">
        <f t="shared" si="181"/>
        <v>2024</v>
      </c>
      <c r="KY15" s="411"/>
      <c r="KZ15" s="411"/>
      <c r="LA15" s="411"/>
      <c r="LB15" s="411"/>
      <c r="LC15" s="411"/>
      <c r="LD15" s="411"/>
      <c r="LE15" s="411"/>
      <c r="LF15" s="446">
        <f t="shared" si="182"/>
        <v>4333.6330935866936</v>
      </c>
      <c r="LG15" s="446">
        <f t="shared" si="182"/>
        <v>4420.3057554584275</v>
      </c>
      <c r="LH15" s="446">
        <f t="shared" si="182"/>
        <v>4508.7118705675957</v>
      </c>
      <c r="LI15" s="446">
        <f t="shared" si="182"/>
        <v>4598.8861079789485</v>
      </c>
      <c r="LJ15" s="446">
        <f t="shared" si="182"/>
        <v>4690.8638301385263</v>
      </c>
      <c r="LK15" s="446">
        <f t="shared" si="182"/>
        <v>4784.6811067412973</v>
      </c>
      <c r="LL15" s="446">
        <f t="shared" si="182"/>
        <v>4880.3747288761233</v>
      </c>
      <c r="LM15" s="446">
        <f t="shared" si="182"/>
        <v>4977.9822234536459</v>
      </c>
      <c r="LN15" s="446">
        <f t="shared" si="182"/>
        <v>5077.5418679227178</v>
      </c>
      <c r="LO15" s="446">
        <f t="shared" si="182"/>
        <v>5179.092705281173</v>
      </c>
      <c r="LP15" s="446">
        <f t="shared" si="183"/>
        <v>5282.6745593867972</v>
      </c>
      <c r="LQ15" s="446">
        <f t="shared" si="183"/>
        <v>5388.3280505745324</v>
      </c>
      <c r="LR15" s="446">
        <f t="shared" si="183"/>
        <v>5496.0946115860224</v>
      </c>
      <c r="LS15" s="446">
        <f t="shared" si="183"/>
        <v>5606.0165038177438</v>
      </c>
      <c r="LT15" s="446">
        <f t="shared" si="183"/>
        <v>5718.1368338940983</v>
      </c>
      <c r="LU15" s="446">
        <f t="shared" si="183"/>
        <v>5832.4995705719803</v>
      </c>
      <c r="LV15" s="446">
        <f t="shared" si="183"/>
        <v>5949.1495619834186</v>
      </c>
      <c r="LW15" s="446">
        <f t="shared" si="183"/>
        <v>6068.1325532230876</v>
      </c>
      <c r="LX15" s="446">
        <f t="shared" si="183"/>
        <v>6189.4952042875493</v>
      </c>
      <c r="LY15" s="446">
        <f t="shared" si="183"/>
        <v>6313.2851083733012</v>
      </c>
      <c r="LZ15" s="446">
        <f t="shared" si="183"/>
        <v>6439.5508105407662</v>
      </c>
      <c r="MA15" s="446">
        <f t="shared" si="183"/>
        <v>6568.3418267515826</v>
      </c>
      <c r="MB15" s="446">
        <f t="shared" si="183"/>
        <v>6699.708663286613</v>
      </c>
      <c r="MC15" s="446">
        <f t="shared" si="183"/>
        <v>6833.7028365523456</v>
      </c>
      <c r="MD15" s="496"/>
      <c r="ME15" s="497">
        <f t="shared" si="184"/>
        <v>0</v>
      </c>
      <c r="MF15" s="497">
        <f t="shared" si="185"/>
        <v>0</v>
      </c>
      <c r="MG15" s="497">
        <f t="shared" si="186"/>
        <v>0</v>
      </c>
      <c r="MH15" s="497">
        <f t="shared" si="187"/>
        <v>0</v>
      </c>
      <c r="MI15" s="497">
        <f t="shared" si="188"/>
        <v>0</v>
      </c>
      <c r="MJ15" s="498">
        <f t="shared" si="189"/>
        <v>0</v>
      </c>
      <c r="MK15" s="498">
        <f t="shared" si="190"/>
        <v>0</v>
      </c>
      <c r="ML15" s="498">
        <f t="shared" si="191"/>
        <v>0</v>
      </c>
      <c r="MM15" s="498">
        <f t="shared" si="192"/>
        <v>0</v>
      </c>
      <c r="MN15" s="498">
        <f t="shared" si="193"/>
        <v>0</v>
      </c>
      <c r="MO15" s="454"/>
      <c r="MP15" s="448">
        <f t="shared" si="194"/>
        <v>8</v>
      </c>
      <c r="MQ15" s="448">
        <f t="shared" si="195"/>
        <v>0</v>
      </c>
      <c r="MR15" s="448">
        <f t="shared" si="196"/>
        <v>0</v>
      </c>
      <c r="MS15" s="448">
        <f t="shared" si="197"/>
        <v>0</v>
      </c>
      <c r="MT15" s="448">
        <f t="shared" si="198"/>
        <v>0</v>
      </c>
      <c r="MU15" s="448">
        <f t="shared" si="199"/>
        <v>0</v>
      </c>
      <c r="MV15" s="448">
        <f t="shared" si="200"/>
        <v>0</v>
      </c>
      <c r="MW15" s="450">
        <f t="shared" si="201"/>
        <v>328000</v>
      </c>
      <c r="MX15" s="450">
        <f t="shared" si="202"/>
        <v>0</v>
      </c>
      <c r="MY15" s="450">
        <f t="shared" si="203"/>
        <v>0</v>
      </c>
      <c r="MZ15" s="450">
        <f t="shared" si="204"/>
        <v>0</v>
      </c>
      <c r="NA15" s="450">
        <f t="shared" si="205"/>
        <v>0</v>
      </c>
      <c r="NB15" s="450">
        <f t="shared" si="206"/>
        <v>0</v>
      </c>
      <c r="NC15" s="451">
        <f t="shared" si="207"/>
        <v>0</v>
      </c>
      <c r="ND15" s="449">
        <f t="shared" si="208"/>
        <v>0</v>
      </c>
      <c r="NE15" s="449">
        <f t="shared" si="209"/>
        <v>0</v>
      </c>
      <c r="NF15" s="449">
        <f t="shared" si="210"/>
        <v>0</v>
      </c>
      <c r="NG15" s="449">
        <f t="shared" si="211"/>
        <v>0</v>
      </c>
      <c r="NH15" s="449">
        <f t="shared" si="212"/>
        <v>0</v>
      </c>
      <c r="NI15" s="448">
        <f t="shared" si="213"/>
        <v>0</v>
      </c>
      <c r="NJ15" s="451">
        <f t="shared" si="214"/>
        <v>0</v>
      </c>
      <c r="NK15" s="449">
        <f t="shared" si="215"/>
        <v>0</v>
      </c>
      <c r="NL15" s="448">
        <f t="shared" si="216"/>
        <v>13.12</v>
      </c>
      <c r="NM15" s="452">
        <f t="shared" si="217"/>
        <v>0</v>
      </c>
      <c r="NN15" s="452">
        <f t="shared" si="218"/>
        <v>0</v>
      </c>
      <c r="NO15" s="453">
        <f t="shared" si="219"/>
        <v>2024</v>
      </c>
      <c r="NP15" s="423"/>
      <c r="NQ15" s="423"/>
      <c r="NR15" s="423"/>
      <c r="NS15" s="423"/>
      <c r="NT15" s="423"/>
      <c r="NU15" s="423"/>
      <c r="NV15" s="423"/>
      <c r="NW15" s="454">
        <f t="shared" si="220"/>
        <v>0</v>
      </c>
      <c r="NX15" s="454">
        <f t="shared" si="220"/>
        <v>0</v>
      </c>
      <c r="NY15" s="454">
        <f t="shared" si="220"/>
        <v>0</v>
      </c>
      <c r="NZ15" s="454">
        <f t="shared" si="220"/>
        <v>0</v>
      </c>
      <c r="OA15" s="454">
        <f t="shared" si="220"/>
        <v>0</v>
      </c>
      <c r="OB15" s="454">
        <f t="shared" si="220"/>
        <v>0</v>
      </c>
      <c r="OC15" s="454">
        <f t="shared" si="220"/>
        <v>0</v>
      </c>
      <c r="OD15" s="454">
        <f t="shared" si="220"/>
        <v>0</v>
      </c>
      <c r="OE15" s="454">
        <f t="shared" si="220"/>
        <v>0</v>
      </c>
      <c r="OF15" s="454">
        <f t="shared" si="220"/>
        <v>0</v>
      </c>
      <c r="OG15" s="454">
        <f t="shared" si="221"/>
        <v>0</v>
      </c>
      <c r="OH15" s="454">
        <f t="shared" si="221"/>
        <v>0</v>
      </c>
      <c r="OI15" s="454">
        <f t="shared" si="221"/>
        <v>0</v>
      </c>
      <c r="OJ15" s="454">
        <f t="shared" si="221"/>
        <v>0</v>
      </c>
      <c r="OK15" s="454">
        <f t="shared" si="221"/>
        <v>0</v>
      </c>
      <c r="OL15" s="454">
        <f t="shared" si="221"/>
        <v>0</v>
      </c>
      <c r="OM15" s="454">
        <f t="shared" si="221"/>
        <v>0</v>
      </c>
      <c r="ON15" s="454">
        <f t="shared" si="221"/>
        <v>0</v>
      </c>
      <c r="OO15" s="454">
        <f t="shared" si="221"/>
        <v>0</v>
      </c>
      <c r="OP15" s="454">
        <f t="shared" si="221"/>
        <v>0</v>
      </c>
      <c r="OQ15" s="454">
        <f t="shared" si="221"/>
        <v>0</v>
      </c>
      <c r="OR15" s="454">
        <f t="shared" si="221"/>
        <v>0</v>
      </c>
      <c r="OS15" s="454">
        <f t="shared" si="221"/>
        <v>0</v>
      </c>
      <c r="OT15" s="454">
        <f t="shared" si="221"/>
        <v>0</v>
      </c>
    </row>
    <row r="16" spans="1:410" s="11" customFormat="1" ht="30">
      <c r="A16" s="19" t="s">
        <v>577</v>
      </c>
      <c r="B16" s="19" t="s">
        <v>415</v>
      </c>
      <c r="C16" s="19" t="s">
        <v>400</v>
      </c>
      <c r="D16" s="19">
        <v>2</v>
      </c>
      <c r="E16" s="19" t="s">
        <v>293</v>
      </c>
      <c r="F16" s="19" t="s">
        <v>420</v>
      </c>
      <c r="G16" s="22" t="s">
        <v>402</v>
      </c>
      <c r="H16" s="20">
        <v>1096</v>
      </c>
      <c r="I16" s="442">
        <v>20614</v>
      </c>
      <c r="J16" s="20"/>
      <c r="K16" s="20"/>
      <c r="L16" s="20"/>
      <c r="M16" s="20"/>
      <c r="N16" s="20"/>
      <c r="O16" s="442">
        <f t="shared" si="3"/>
        <v>0</v>
      </c>
      <c r="P16" s="21"/>
      <c r="Q16" s="21" t="s">
        <v>105</v>
      </c>
      <c r="R16" s="27">
        <f t="shared" si="4"/>
        <v>4.1227999999999998</v>
      </c>
      <c r="S16" s="457">
        <v>0.45</v>
      </c>
      <c r="T16" s="27">
        <f>I16*S16</f>
        <v>9276.3000000000011</v>
      </c>
      <c r="U16" s="21"/>
      <c r="V16" s="19"/>
      <c r="W16" s="22"/>
      <c r="X16" s="19"/>
      <c r="Y16" s="19"/>
      <c r="Z16" s="19" t="s">
        <v>405</v>
      </c>
      <c r="AA16" s="219"/>
      <c r="AB16" s="219"/>
      <c r="AC16" s="224">
        <v>90</v>
      </c>
      <c r="AD16" s="224">
        <f t="shared" si="5"/>
        <v>1855260</v>
      </c>
      <c r="AE16" s="24"/>
      <c r="AF16" s="273"/>
      <c r="AG16" s="220">
        <f t="shared" si="6"/>
        <v>1855260</v>
      </c>
      <c r="AH16" s="220">
        <f t="shared" si="7"/>
        <v>1855260</v>
      </c>
      <c r="AI16" s="24" t="s">
        <v>252</v>
      </c>
      <c r="AJ16" s="228">
        <f>VLOOKUP($Q16,'Zoning Density'!$A$1:$E$28,3,)</f>
        <v>5000</v>
      </c>
      <c r="AK16" s="228">
        <f t="shared" si="8"/>
        <v>5000</v>
      </c>
      <c r="AL16" s="229">
        <f t="shared" si="9"/>
        <v>4.1227999999999998</v>
      </c>
      <c r="AM16" s="229">
        <f t="shared" si="10"/>
        <v>4.1227999999999998</v>
      </c>
      <c r="AN16" s="228">
        <v>3</v>
      </c>
      <c r="AO16" s="221">
        <f>VLOOKUP($AI16,Funding!$A$1:$G$6,3,FALSE)*$AG16</f>
        <v>0</v>
      </c>
      <c r="AP16" s="221">
        <f>VLOOKUP($AI16,Funding!$A$1:$G$6,4,FALSE)*$AG16</f>
        <v>1855260</v>
      </c>
      <c r="AQ16" s="351"/>
      <c r="AR16" s="274"/>
      <c r="AS16" s="222">
        <f t="shared" si="11"/>
        <v>4</v>
      </c>
      <c r="AT16" s="222"/>
      <c r="AU16" s="222">
        <f t="shared" si="12"/>
        <v>4</v>
      </c>
      <c r="AV16" s="221">
        <f>VLOOKUP($AN16,'Impact Fee'!$A$1:$E$20,5,FALSE)*AU16</f>
        <v>48000</v>
      </c>
      <c r="AW16" s="221">
        <f t="shared" si="13"/>
        <v>0</v>
      </c>
      <c r="AX16" s="221"/>
      <c r="AY16" s="321"/>
      <c r="AZ16" s="221">
        <f t="shared" si="14"/>
        <v>48000</v>
      </c>
      <c r="BA16" s="221">
        <f t="shared" si="15"/>
        <v>48000</v>
      </c>
      <c r="BB16" s="221">
        <f t="shared" si="16"/>
        <v>1903260</v>
      </c>
      <c r="BC16" s="271">
        <f t="shared" si="222"/>
        <v>0.38400000000000001</v>
      </c>
      <c r="BD16" s="271">
        <f t="shared" si="223"/>
        <v>15.22608</v>
      </c>
      <c r="BE16" s="271"/>
      <c r="BF16" s="221">
        <f t="shared" si="17"/>
        <v>1312000</v>
      </c>
      <c r="BG16" s="221">
        <f t="shared" si="18"/>
        <v>0</v>
      </c>
      <c r="BH16" s="221">
        <f t="shared" si="19"/>
        <v>0</v>
      </c>
      <c r="BI16" s="221">
        <f t="shared" si="20"/>
        <v>0</v>
      </c>
      <c r="BJ16" s="221">
        <f t="shared" si="21"/>
        <v>0</v>
      </c>
      <c r="BK16" s="221">
        <f t="shared" si="22"/>
        <v>0</v>
      </c>
      <c r="BL16" s="221">
        <f t="shared" si="23"/>
        <v>0</v>
      </c>
      <c r="BM16" s="221">
        <f t="shared" si="24"/>
        <v>0</v>
      </c>
      <c r="BN16" s="259"/>
      <c r="BO16" s="260"/>
      <c r="BP16" s="259">
        <f t="shared" si="25"/>
        <v>4</v>
      </c>
      <c r="BQ16" s="261">
        <v>1</v>
      </c>
      <c r="BR16" s="261">
        <f>IF(BQ16&gt;0.2,0.35,VLOOKUP(BQ16,'Density Bonus'!$A$1:$B$15,2,FALSE))</f>
        <v>0.35</v>
      </c>
      <c r="BS16" s="262">
        <f t="shared" si="26"/>
        <v>5.4</v>
      </c>
      <c r="BT16" s="262">
        <f>IF(BR16&gt;0,ROUNDUP(BS16,0),ROUNDDOWN(BS16,0))</f>
        <v>6</v>
      </c>
      <c r="BU16" s="349"/>
      <c r="BV16" s="263">
        <f t="shared" si="28"/>
        <v>6</v>
      </c>
      <c r="BW16" s="263">
        <f t="shared" si="29"/>
        <v>0</v>
      </c>
      <c r="BX16" s="264">
        <f t="shared" si="30"/>
        <v>0</v>
      </c>
      <c r="BY16" s="264">
        <f>IF(BQ16&lt;0.15,(VLOOKUP($AN16,'Impact Fee'!$A$1:$E$10,5,FALSE)*BW16),0)</f>
        <v>0</v>
      </c>
      <c r="BZ16" s="264">
        <f t="shared" si="31"/>
        <v>0</v>
      </c>
      <c r="CA16" s="264">
        <f t="shared" si="32"/>
        <v>0</v>
      </c>
      <c r="CB16" s="264">
        <f t="shared" si="33"/>
        <v>0</v>
      </c>
      <c r="CC16" s="264">
        <f t="shared" si="34"/>
        <v>0</v>
      </c>
      <c r="CD16" s="264">
        <f t="shared" si="35"/>
        <v>0</v>
      </c>
      <c r="CE16" s="264">
        <f>CD16*IF(F16="Commercial",CE$3,VLOOKUP($AI16,Funding!$A$1:$G$6,5,FALSE))</f>
        <v>0</v>
      </c>
      <c r="CF16" s="264">
        <f t="shared" si="36"/>
        <v>0</v>
      </c>
      <c r="CG16" s="264">
        <f t="shared" si="37"/>
        <v>-610512</v>
      </c>
      <c r="CH16" s="264">
        <f t="shared" si="38"/>
        <v>-610512</v>
      </c>
      <c r="CI16" s="264"/>
      <c r="CJ16" s="264">
        <f t="shared" si="39"/>
        <v>1968000</v>
      </c>
      <c r="CK16" s="264">
        <f t="shared" si="40"/>
        <v>0</v>
      </c>
      <c r="CL16" s="264">
        <f t="shared" si="41"/>
        <v>0</v>
      </c>
      <c r="CM16" s="264">
        <f t="shared" si="42"/>
        <v>0</v>
      </c>
      <c r="CN16" s="264">
        <f t="shared" si="43"/>
        <v>0</v>
      </c>
      <c r="CO16" s="264">
        <f t="shared" si="44"/>
        <v>0</v>
      </c>
      <c r="CP16" s="264">
        <f t="shared" si="45"/>
        <v>0</v>
      </c>
      <c r="CQ16" s="264">
        <f t="shared" si="46"/>
        <v>0</v>
      </c>
      <c r="CR16" s="264">
        <f t="shared" si="47"/>
        <v>0</v>
      </c>
      <c r="CS16" s="520"/>
      <c r="CT16" s="521"/>
      <c r="CU16" s="520">
        <f t="shared" si="48"/>
        <v>4</v>
      </c>
      <c r="CV16" s="522">
        <v>0.15</v>
      </c>
      <c r="CW16" s="522">
        <f>IF(CV16&gt;0.2,0.35,VLOOKUP(CV16,'Density Bonus'!$A$1:$B$15,2,FALSE))</f>
        <v>0.27500000000000002</v>
      </c>
      <c r="CX16" s="523">
        <f t="shared" si="49"/>
        <v>5.0999999999999996</v>
      </c>
      <c r="CY16" s="523">
        <f>IF(CW16&gt;0,ROUNDUP(CX16,0),ROUNDDOWN(CX16,0))</f>
        <v>6</v>
      </c>
      <c r="CZ16" s="347"/>
      <c r="DA16" s="524">
        <f t="shared" si="51"/>
        <v>1</v>
      </c>
      <c r="DB16" s="524">
        <f t="shared" si="52"/>
        <v>5</v>
      </c>
      <c r="DC16" s="525">
        <f t="shared" si="53"/>
        <v>0</v>
      </c>
      <c r="DD16" s="525">
        <f>IF(CV16&lt;0.4,VLOOKUP($AN16,'Impact Fee'!$A$1:$E$10,5,FALSE)*DB16,0)</f>
        <v>60000</v>
      </c>
      <c r="DE16" s="525">
        <f t="shared" si="54"/>
        <v>60000</v>
      </c>
      <c r="DF16" s="525">
        <f t="shared" si="55"/>
        <v>1915260</v>
      </c>
      <c r="DG16" s="525">
        <f t="shared" si="56"/>
        <v>224566.39999999997</v>
      </c>
      <c r="DH16" s="525">
        <f t="shared" si="57"/>
        <v>152628</v>
      </c>
      <c r="DI16" s="525">
        <f t="shared" si="58"/>
        <v>1690693.6</v>
      </c>
      <c r="DJ16" s="525">
        <f t="shared" si="59"/>
        <v>152628</v>
      </c>
      <c r="DK16" s="525">
        <f t="shared" si="60"/>
        <v>1538065.6</v>
      </c>
      <c r="DL16" s="525">
        <f t="shared" si="61"/>
        <v>0</v>
      </c>
      <c r="DM16" s="525">
        <f t="shared" si="62"/>
        <v>0</v>
      </c>
      <c r="DN16" s="525">
        <f t="shared" si="63"/>
        <v>1538065.6</v>
      </c>
      <c r="DO16" s="525">
        <f>VLOOKUP($AI16,Funding!$A$1:$G$6,6,FALSE)*DN16</f>
        <v>1538065.6</v>
      </c>
      <c r="DP16" s="525">
        <f t="shared" si="64"/>
        <v>1690693.6</v>
      </c>
      <c r="DQ16" s="525">
        <f t="shared" si="65"/>
        <v>0</v>
      </c>
      <c r="DR16" s="525">
        <f t="shared" si="66"/>
        <v>1690693.6</v>
      </c>
      <c r="DS16" s="525"/>
      <c r="DT16" s="525">
        <f t="shared" si="67"/>
        <v>1968000</v>
      </c>
      <c r="DU16" s="525">
        <f t="shared" si="68"/>
        <v>0</v>
      </c>
      <c r="DV16" s="525">
        <f t="shared" si="69"/>
        <v>0</v>
      </c>
      <c r="DW16" s="525">
        <f t="shared" si="70"/>
        <v>0</v>
      </c>
      <c r="DX16" s="525">
        <f t="shared" si="71"/>
        <v>0</v>
      </c>
      <c r="DY16" s="525">
        <f t="shared" si="72"/>
        <v>0</v>
      </c>
      <c r="DZ16" s="525">
        <f t="shared" si="73"/>
        <v>0</v>
      </c>
      <c r="EA16" s="819"/>
      <c r="EB16" s="820"/>
      <c r="EC16" s="819">
        <f t="shared" si="74"/>
        <v>4</v>
      </c>
      <c r="ED16" s="821">
        <v>0.15</v>
      </c>
      <c r="EE16" s="821">
        <f>IF(ED16&gt;0.2,0.35,VLOOKUP(ED16,'Density Bonus'!$A$1:$B$15,2,FALSE))</f>
        <v>0.27500000000000002</v>
      </c>
      <c r="EF16" s="822">
        <f t="shared" si="75"/>
        <v>5.0999999999999996</v>
      </c>
      <c r="EG16" s="822">
        <f>IF(EE16&gt;0,ROUNDUP(EF16,0),ROUNDDOWN(EF16,0))</f>
        <v>6</v>
      </c>
      <c r="EH16" s="823"/>
      <c r="EI16" s="824">
        <f t="shared" si="77"/>
        <v>1</v>
      </c>
      <c r="EJ16" s="824">
        <f t="shared" si="78"/>
        <v>5</v>
      </c>
      <c r="EK16" s="825">
        <f t="shared" si="79"/>
        <v>0</v>
      </c>
      <c r="EL16" s="825">
        <f>IF(ED16&lt;0.4,VLOOKUP($AN16,'Impact Fee'!$A$1:$E$10,5,FALSE)*EJ16,0)</f>
        <v>60000</v>
      </c>
      <c r="EM16" s="825">
        <f t="shared" si="80"/>
        <v>60000</v>
      </c>
      <c r="EN16" s="825">
        <f t="shared" si="81"/>
        <v>1915260</v>
      </c>
      <c r="EO16" s="825">
        <f t="shared" si="82"/>
        <v>224566.39999999997</v>
      </c>
      <c r="EP16" s="825">
        <f t="shared" si="83"/>
        <v>152628</v>
      </c>
      <c r="EQ16" s="825">
        <f t="shared" si="84"/>
        <v>1690693.6</v>
      </c>
      <c r="ER16" s="825">
        <f t="shared" si="85"/>
        <v>152628</v>
      </c>
      <c r="ES16" s="825">
        <f t="shared" si="86"/>
        <v>1538065.6</v>
      </c>
      <c r="ET16" s="825">
        <f t="shared" si="87"/>
        <v>0</v>
      </c>
      <c r="EU16" s="825">
        <f t="shared" si="88"/>
        <v>0</v>
      </c>
      <c r="EV16" s="825">
        <f t="shared" si="89"/>
        <v>1538065.6</v>
      </c>
      <c r="EW16" s="825">
        <f>VLOOKUP($AI16,Funding!$A$1:$G$6,6,FALSE)*EV16</f>
        <v>1538065.6</v>
      </c>
      <c r="EX16" s="825">
        <f t="shared" si="90"/>
        <v>1690693.6</v>
      </c>
      <c r="EY16" s="825">
        <f t="shared" si="91"/>
        <v>0</v>
      </c>
      <c r="EZ16" s="825">
        <f t="shared" si="92"/>
        <v>1690693.6</v>
      </c>
      <c r="FA16" s="825"/>
      <c r="FB16" s="825">
        <f t="shared" si="93"/>
        <v>1968000</v>
      </c>
      <c r="FC16" s="825">
        <f t="shared" si="94"/>
        <v>0</v>
      </c>
      <c r="FD16" s="825">
        <f t="shared" si="95"/>
        <v>0</v>
      </c>
      <c r="FE16" s="825">
        <f t="shared" si="96"/>
        <v>0</v>
      </c>
      <c r="FF16" s="825">
        <f t="shared" si="97"/>
        <v>0</v>
      </c>
      <c r="FG16" s="825">
        <f t="shared" si="98"/>
        <v>0</v>
      </c>
      <c r="FH16" s="825">
        <f t="shared" si="99"/>
        <v>0</v>
      </c>
      <c r="FI16" s="545"/>
      <c r="FJ16" s="546"/>
      <c r="FK16" s="546"/>
      <c r="FL16" s="545">
        <f t="shared" si="100"/>
        <v>4</v>
      </c>
      <c r="FM16" s="547">
        <v>0</v>
      </c>
      <c r="FN16" s="547">
        <f>IF(FM16&gt;0.2,0.35,VLOOKUP(FM16,'Density Bonus'!$A$1:$B$15,2,FALSE))</f>
        <v>0</v>
      </c>
      <c r="FO16" s="548">
        <f t="shared" si="101"/>
        <v>4</v>
      </c>
      <c r="FP16" s="548">
        <f>IF(FN16&gt;0,ROUNDUP(FO16,0),ROUNDDOWN(FO16,0))</f>
        <v>4</v>
      </c>
      <c r="FQ16" s="347"/>
      <c r="FR16" s="549">
        <f t="shared" si="103"/>
        <v>0</v>
      </c>
      <c r="FS16" s="549">
        <f t="shared" si="104"/>
        <v>4</v>
      </c>
      <c r="FT16" s="550">
        <f t="shared" si="105"/>
        <v>0</v>
      </c>
      <c r="FU16" s="550">
        <f>IF(FM16&lt;0.15,(VLOOKUP($AN16,'Impact Fee'!$A$1:$E$10,5,FALSE)*FS16),0)</f>
        <v>48000</v>
      </c>
      <c r="FV16" s="550">
        <f t="shared" si="106"/>
        <v>48000</v>
      </c>
      <c r="FW16" s="550">
        <f t="shared" si="107"/>
        <v>1855260</v>
      </c>
      <c r="FX16" s="550">
        <f t="shared" si="108"/>
        <v>0</v>
      </c>
      <c r="FY16" s="550">
        <f t="shared" si="109"/>
        <v>0</v>
      </c>
      <c r="FZ16" s="550">
        <f t="shared" si="110"/>
        <v>1855260</v>
      </c>
      <c r="GA16" s="550">
        <f>VLOOKUP($AI16,Funding!$A$1:$G$6,3,FALSE)*FZ16</f>
        <v>0</v>
      </c>
      <c r="GB16" s="550">
        <f t="shared" si="111"/>
        <v>48000</v>
      </c>
      <c r="GC16" s="550">
        <f t="shared" si="112"/>
        <v>0</v>
      </c>
      <c r="GD16" s="550">
        <f t="shared" si="113"/>
        <v>48000</v>
      </c>
      <c r="GE16" s="550"/>
      <c r="GF16" s="550">
        <f t="shared" si="114"/>
        <v>1312000</v>
      </c>
      <c r="GG16" s="550">
        <f t="shared" si="115"/>
        <v>0</v>
      </c>
      <c r="GH16" s="550">
        <f t="shared" si="116"/>
        <v>0</v>
      </c>
      <c r="GI16" s="550">
        <f t="shared" si="117"/>
        <v>0</v>
      </c>
      <c r="GJ16" s="550">
        <f t="shared" si="118"/>
        <v>0</v>
      </c>
      <c r="GK16" s="550">
        <f t="shared" si="119"/>
        <v>0</v>
      </c>
      <c r="GL16" s="550">
        <f t="shared" si="120"/>
        <v>0</v>
      </c>
      <c r="GM16" s="550">
        <f t="shared" si="121"/>
        <v>0</v>
      </c>
      <c r="GN16" s="550">
        <f t="shared" si="122"/>
        <v>0</v>
      </c>
      <c r="GO16" s="199"/>
      <c r="GP16" s="275"/>
      <c r="GQ16" s="199">
        <f t="shared" si="123"/>
        <v>4</v>
      </c>
      <c r="GR16" s="34">
        <v>1</v>
      </c>
      <c r="GS16" s="34">
        <f>IF(GR16&gt;0.2,0.35,VLOOKUP(GR16,'Density Bonus'!$A$1:$B$15,2,FALSE))</f>
        <v>0.35</v>
      </c>
      <c r="GT16" s="235">
        <f t="shared" si="124"/>
        <v>5.4</v>
      </c>
      <c r="GU16" s="235">
        <f>IF(GS16&gt;0,ROUNDUP(GT16,0),ROUNDDOWN(GT16,0))</f>
        <v>6</v>
      </c>
      <c r="GV16" s="347"/>
      <c r="GW16" s="31">
        <f t="shared" si="126"/>
        <v>6</v>
      </c>
      <c r="GX16" s="31">
        <f t="shared" si="127"/>
        <v>0</v>
      </c>
      <c r="GY16" s="196" t="str">
        <f t="shared" si="128"/>
        <v/>
      </c>
      <c r="GZ16" s="238">
        <f t="shared" si="129"/>
        <v>0</v>
      </c>
      <c r="HA16" s="238">
        <f t="shared" si="130"/>
        <v>0</v>
      </c>
      <c r="HB16" s="238">
        <f t="shared" si="131"/>
        <v>0</v>
      </c>
      <c r="HC16" s="238">
        <f t="shared" si="224"/>
        <v>0</v>
      </c>
      <c r="HD16" s="238">
        <f>VLOOKUP($AI16,Funding!$A$1:$G$6,7,FALSE)*HC16</f>
        <v>0</v>
      </c>
      <c r="HE16" s="238">
        <f t="shared" si="225"/>
        <v>0</v>
      </c>
      <c r="HF16" s="238">
        <f t="shared" si="226"/>
        <v>-610512</v>
      </c>
      <c r="HG16" s="238">
        <f t="shared" si="132"/>
        <v>-610512</v>
      </c>
      <c r="HH16" s="238"/>
      <c r="HI16" s="238">
        <f t="shared" si="133"/>
        <v>1968000</v>
      </c>
      <c r="HJ16" s="238">
        <f t="shared" si="134"/>
        <v>0</v>
      </c>
      <c r="HK16" s="238">
        <f t="shared" si="135"/>
        <v>0</v>
      </c>
      <c r="HL16" s="238">
        <f t="shared" si="136"/>
        <v>0</v>
      </c>
      <c r="HM16" s="238">
        <f t="shared" si="137"/>
        <v>0</v>
      </c>
      <c r="HN16" s="238">
        <f t="shared" si="138"/>
        <v>0</v>
      </c>
      <c r="HO16" s="238">
        <f t="shared" si="139"/>
        <v>0</v>
      </c>
      <c r="HP16" s="397"/>
      <c r="HQ16" s="424"/>
      <c r="HR16" s="426">
        <f t="shared" si="140"/>
        <v>1855260</v>
      </c>
      <c r="HS16" s="425">
        <f t="shared" si="141"/>
        <v>0</v>
      </c>
      <c r="HT16" s="425">
        <f t="shared" si="142"/>
        <v>4</v>
      </c>
      <c r="HU16" s="429">
        <f t="shared" si="228"/>
        <v>0</v>
      </c>
      <c r="HV16" s="429">
        <f t="shared" si="227"/>
        <v>0</v>
      </c>
      <c r="HW16" s="429">
        <f t="shared" si="227"/>
        <v>0</v>
      </c>
      <c r="HX16" s="429">
        <f t="shared" si="227"/>
        <v>0</v>
      </c>
      <c r="HY16" s="429">
        <f t="shared" si="227"/>
        <v>0</v>
      </c>
      <c r="HZ16" s="426">
        <f t="shared" si="144"/>
        <v>328000</v>
      </c>
      <c r="IA16" s="426"/>
      <c r="IB16" s="426"/>
      <c r="IC16" s="425"/>
      <c r="ID16" s="425"/>
      <c r="IE16" s="425"/>
      <c r="IF16" s="427">
        <f>((HR16+(HT16*HZ16)+(HU16*IA16)+(HV16*IB16)+(HW16*IC16)+(HX16*ID16))*0.01*0.29)</f>
        <v>9185.0540000000001</v>
      </c>
      <c r="IG16" s="428">
        <f t="shared" si="145"/>
        <v>5267.1533800000016</v>
      </c>
      <c r="IH16" s="428">
        <f t="shared" si="146"/>
        <v>0</v>
      </c>
      <c r="II16" s="428">
        <f t="shared" si="147"/>
        <v>1690.9074000000001</v>
      </c>
      <c r="IJ16" s="428">
        <f t="shared" si="148"/>
        <v>0</v>
      </c>
      <c r="IK16" s="428">
        <f t="shared" si="149"/>
        <v>16143.114780000002</v>
      </c>
      <c r="IL16" s="429">
        <f t="shared" si="150"/>
        <v>0</v>
      </c>
      <c r="IM16" s="427">
        <f>Sites!AG16</f>
        <v>1855260</v>
      </c>
      <c r="IN16" s="428">
        <f t="shared" si="151"/>
        <v>27828.899999999998</v>
      </c>
      <c r="IO16" s="429">
        <f t="shared" si="152"/>
        <v>6.56</v>
      </c>
      <c r="IP16" s="426">
        <f t="shared" si="153"/>
        <v>564123.68702325318</v>
      </c>
      <c r="IQ16" s="426">
        <f t="shared" si="154"/>
        <v>309844.30729525053</v>
      </c>
      <c r="IR16" s="430">
        <v>2024</v>
      </c>
      <c r="IS16" s="431"/>
      <c r="IT16" s="431"/>
      <c r="IU16" s="431"/>
      <c r="IV16" s="431"/>
      <c r="IW16" s="428"/>
      <c r="IX16" s="428"/>
      <c r="IY16" s="428"/>
      <c r="IZ16" s="428">
        <f t="shared" si="155"/>
        <v>18543.364579003261</v>
      </c>
      <c r="JA16" s="428">
        <f t="shared" si="155"/>
        <v>18914.231870583324</v>
      </c>
      <c r="JB16" s="428">
        <f t="shared" si="155"/>
        <v>19292.516507994991</v>
      </c>
      <c r="JC16" s="428">
        <f t="shared" si="155"/>
        <v>19678.366838154892</v>
      </c>
      <c r="JD16" s="428">
        <f t="shared" si="155"/>
        <v>20071.934174917988</v>
      </c>
      <c r="JE16" s="428">
        <f t="shared" si="155"/>
        <v>20473.372858416351</v>
      </c>
      <c r="JF16" s="428">
        <f t="shared" si="155"/>
        <v>20882.840315584675</v>
      </c>
      <c r="JG16" s="428">
        <f t="shared" si="155"/>
        <v>21300.497121896373</v>
      </c>
      <c r="JH16" s="428">
        <f t="shared" si="155"/>
        <v>21726.507064334291</v>
      </c>
      <c r="JI16" s="428">
        <f t="shared" si="155"/>
        <v>22161.037205620982</v>
      </c>
      <c r="JJ16" s="428">
        <f t="shared" si="156"/>
        <v>22604.257949733405</v>
      </c>
      <c r="JK16" s="428">
        <f t="shared" si="156"/>
        <v>23056.34310872807</v>
      </c>
      <c r="JL16" s="428">
        <f t="shared" si="156"/>
        <v>23517.469970902632</v>
      </c>
      <c r="JM16" s="428">
        <f t="shared" si="156"/>
        <v>23987.819370320685</v>
      </c>
      <c r="JN16" s="428">
        <f t="shared" si="156"/>
        <v>24467.575757727096</v>
      </c>
      <c r="JO16" s="428">
        <f t="shared" si="156"/>
        <v>24956.92727288164</v>
      </c>
      <c r="JP16" s="428">
        <f t="shared" si="156"/>
        <v>25456.06581833927</v>
      </c>
      <c r="JQ16" s="428">
        <f t="shared" si="156"/>
        <v>25965.187134706055</v>
      </c>
      <c r="JR16" s="428">
        <f t="shared" si="156"/>
        <v>26484.490877400178</v>
      </c>
      <c r="JS16" s="428">
        <f t="shared" si="156"/>
        <v>27014.180694948183</v>
      </c>
      <c r="JT16" s="428">
        <f t="shared" si="156"/>
        <v>27554.464308847142</v>
      </c>
      <c r="JU16" s="428">
        <f t="shared" si="156"/>
        <v>28105.553595024092</v>
      </c>
      <c r="JV16" s="428">
        <f t="shared" si="156"/>
        <v>28667.664666924567</v>
      </c>
      <c r="JW16" s="428">
        <f t="shared" si="156"/>
        <v>29241.01796026306</v>
      </c>
      <c r="JX16" s="432"/>
      <c r="JY16" s="435">
        <f t="shared" si="157"/>
        <v>6</v>
      </c>
      <c r="JZ16" s="435">
        <f t="shared" si="158"/>
        <v>0</v>
      </c>
      <c r="KA16" s="435">
        <f t="shared" si="159"/>
        <v>0</v>
      </c>
      <c r="KB16" s="435">
        <f t="shared" si="160"/>
        <v>0</v>
      </c>
      <c r="KC16" s="435">
        <f t="shared" si="161"/>
        <v>0</v>
      </c>
      <c r="KD16" s="435">
        <f t="shared" si="162"/>
        <v>0</v>
      </c>
      <c r="KE16" s="435">
        <f t="shared" si="163"/>
        <v>0</v>
      </c>
      <c r="KF16" s="432">
        <f t="shared" si="164"/>
        <v>328000</v>
      </c>
      <c r="KG16" s="445">
        <f t="shared" si="165"/>
        <v>0</v>
      </c>
      <c r="KH16" s="445">
        <f t="shared" si="166"/>
        <v>0</v>
      </c>
      <c r="KI16" s="445">
        <f t="shared" si="167"/>
        <v>0</v>
      </c>
      <c r="KJ16" s="445">
        <f t="shared" si="168"/>
        <v>0</v>
      </c>
      <c r="KK16" s="445">
        <f t="shared" si="169"/>
        <v>0</v>
      </c>
      <c r="KL16" s="434">
        <v>0</v>
      </c>
      <c r="KM16" s="432">
        <f t="shared" si="170"/>
        <v>0</v>
      </c>
      <c r="KN16" s="432">
        <f t="shared" si="171"/>
        <v>0</v>
      </c>
      <c r="KO16" s="432">
        <f t="shared" si="172"/>
        <v>0</v>
      </c>
      <c r="KP16" s="432">
        <f t="shared" si="173"/>
        <v>0</v>
      </c>
      <c r="KQ16" s="432">
        <f t="shared" si="174"/>
        <v>0</v>
      </c>
      <c r="KR16" s="435">
        <f t="shared" si="175"/>
        <v>0</v>
      </c>
      <c r="KS16" s="434">
        <f t="shared" si="176"/>
        <v>0</v>
      </c>
      <c r="KT16" s="432">
        <f t="shared" si="177"/>
        <v>0</v>
      </c>
      <c r="KU16" s="435">
        <f t="shared" si="178"/>
        <v>9.84</v>
      </c>
      <c r="KV16" s="433">
        <f t="shared" si="179"/>
        <v>0</v>
      </c>
      <c r="KW16" s="433">
        <f t="shared" si="180"/>
        <v>0</v>
      </c>
      <c r="KX16" s="436">
        <f t="shared" si="181"/>
        <v>2024</v>
      </c>
      <c r="KY16" s="411"/>
      <c r="KZ16" s="411"/>
      <c r="LA16" s="411"/>
      <c r="LB16" s="411"/>
      <c r="LC16" s="411"/>
      <c r="LD16" s="411"/>
      <c r="LE16" s="411"/>
      <c r="LF16" s="446">
        <f t="shared" si="182"/>
        <v>0</v>
      </c>
      <c r="LG16" s="446">
        <f t="shared" si="182"/>
        <v>0</v>
      </c>
      <c r="LH16" s="446">
        <f t="shared" si="182"/>
        <v>0</v>
      </c>
      <c r="LI16" s="446">
        <f t="shared" si="182"/>
        <v>0</v>
      </c>
      <c r="LJ16" s="446">
        <f t="shared" si="182"/>
        <v>0</v>
      </c>
      <c r="LK16" s="446">
        <f t="shared" si="182"/>
        <v>0</v>
      </c>
      <c r="LL16" s="446">
        <f t="shared" si="182"/>
        <v>0</v>
      </c>
      <c r="LM16" s="446">
        <f t="shared" si="182"/>
        <v>0</v>
      </c>
      <c r="LN16" s="446">
        <f t="shared" si="182"/>
        <v>0</v>
      </c>
      <c r="LO16" s="446">
        <f t="shared" si="182"/>
        <v>0</v>
      </c>
      <c r="LP16" s="446">
        <f t="shared" si="183"/>
        <v>0</v>
      </c>
      <c r="LQ16" s="446">
        <f t="shared" si="183"/>
        <v>0</v>
      </c>
      <c r="LR16" s="446">
        <f t="shared" si="183"/>
        <v>0</v>
      </c>
      <c r="LS16" s="446">
        <f t="shared" si="183"/>
        <v>0</v>
      </c>
      <c r="LT16" s="446">
        <f t="shared" si="183"/>
        <v>0</v>
      </c>
      <c r="LU16" s="446">
        <f t="shared" si="183"/>
        <v>0</v>
      </c>
      <c r="LV16" s="446">
        <f t="shared" si="183"/>
        <v>0</v>
      </c>
      <c r="LW16" s="446">
        <f t="shared" si="183"/>
        <v>0</v>
      </c>
      <c r="LX16" s="446">
        <f t="shared" si="183"/>
        <v>0</v>
      </c>
      <c r="LY16" s="446">
        <f t="shared" si="183"/>
        <v>0</v>
      </c>
      <c r="LZ16" s="446">
        <f t="shared" si="183"/>
        <v>0</v>
      </c>
      <c r="MA16" s="446">
        <f t="shared" si="183"/>
        <v>0</v>
      </c>
      <c r="MB16" s="446">
        <f t="shared" si="183"/>
        <v>0</v>
      </c>
      <c r="MC16" s="446">
        <f t="shared" si="183"/>
        <v>0</v>
      </c>
      <c r="MD16" s="496"/>
      <c r="ME16" s="497">
        <f t="shared" si="184"/>
        <v>0</v>
      </c>
      <c r="MF16" s="497">
        <f t="shared" si="185"/>
        <v>0</v>
      </c>
      <c r="MG16" s="497">
        <f t="shared" si="186"/>
        <v>0</v>
      </c>
      <c r="MH16" s="497">
        <f t="shared" si="187"/>
        <v>0</v>
      </c>
      <c r="MI16" s="497">
        <f t="shared" si="188"/>
        <v>0</v>
      </c>
      <c r="MJ16" s="498">
        <f t="shared" si="189"/>
        <v>0</v>
      </c>
      <c r="MK16" s="498">
        <f t="shared" si="190"/>
        <v>0</v>
      </c>
      <c r="ML16" s="498">
        <f t="shared" si="191"/>
        <v>0</v>
      </c>
      <c r="MM16" s="498">
        <f t="shared" si="192"/>
        <v>0</v>
      </c>
      <c r="MN16" s="498">
        <f t="shared" si="193"/>
        <v>0</v>
      </c>
      <c r="MO16" s="454"/>
      <c r="MP16" s="448">
        <f t="shared" si="194"/>
        <v>6</v>
      </c>
      <c r="MQ16" s="448">
        <f t="shared" si="195"/>
        <v>0</v>
      </c>
      <c r="MR16" s="448">
        <f t="shared" si="196"/>
        <v>0</v>
      </c>
      <c r="MS16" s="448">
        <f t="shared" si="197"/>
        <v>0</v>
      </c>
      <c r="MT16" s="448">
        <f t="shared" si="198"/>
        <v>0</v>
      </c>
      <c r="MU16" s="448">
        <f t="shared" si="199"/>
        <v>0</v>
      </c>
      <c r="MV16" s="448">
        <f t="shared" si="200"/>
        <v>0</v>
      </c>
      <c r="MW16" s="450">
        <f t="shared" si="201"/>
        <v>328000</v>
      </c>
      <c r="MX16" s="450">
        <f t="shared" si="202"/>
        <v>0</v>
      </c>
      <c r="MY16" s="450">
        <f t="shared" si="203"/>
        <v>0</v>
      </c>
      <c r="MZ16" s="450">
        <f t="shared" si="204"/>
        <v>0</v>
      </c>
      <c r="NA16" s="450">
        <f t="shared" si="205"/>
        <v>0</v>
      </c>
      <c r="NB16" s="450">
        <f t="shared" si="206"/>
        <v>0</v>
      </c>
      <c r="NC16" s="451">
        <f t="shared" si="207"/>
        <v>0</v>
      </c>
      <c r="ND16" s="449">
        <f t="shared" si="208"/>
        <v>0</v>
      </c>
      <c r="NE16" s="449">
        <f t="shared" si="209"/>
        <v>0</v>
      </c>
      <c r="NF16" s="449">
        <f t="shared" si="210"/>
        <v>0</v>
      </c>
      <c r="NG16" s="449">
        <f t="shared" si="211"/>
        <v>0</v>
      </c>
      <c r="NH16" s="449">
        <f t="shared" si="212"/>
        <v>0</v>
      </c>
      <c r="NI16" s="448">
        <f t="shared" si="213"/>
        <v>0</v>
      </c>
      <c r="NJ16" s="451">
        <f t="shared" si="214"/>
        <v>0</v>
      </c>
      <c r="NK16" s="449">
        <f t="shared" si="215"/>
        <v>0</v>
      </c>
      <c r="NL16" s="448">
        <f t="shared" si="216"/>
        <v>9.84</v>
      </c>
      <c r="NM16" s="452">
        <f t="shared" si="217"/>
        <v>0</v>
      </c>
      <c r="NN16" s="452">
        <f t="shared" si="218"/>
        <v>0</v>
      </c>
      <c r="NO16" s="453">
        <f t="shared" si="219"/>
        <v>2024</v>
      </c>
      <c r="NP16" s="423"/>
      <c r="NQ16" s="423"/>
      <c r="NR16" s="423"/>
      <c r="NS16" s="423"/>
      <c r="NT16" s="423"/>
      <c r="NU16" s="423"/>
      <c r="NV16" s="423"/>
      <c r="NW16" s="454">
        <f t="shared" si="220"/>
        <v>0</v>
      </c>
      <c r="NX16" s="454">
        <f t="shared" si="220"/>
        <v>0</v>
      </c>
      <c r="NY16" s="454">
        <f t="shared" si="220"/>
        <v>0</v>
      </c>
      <c r="NZ16" s="454">
        <f t="shared" si="220"/>
        <v>0</v>
      </c>
      <c r="OA16" s="454">
        <f t="shared" si="220"/>
        <v>0</v>
      </c>
      <c r="OB16" s="454">
        <f t="shared" si="220"/>
        <v>0</v>
      </c>
      <c r="OC16" s="454">
        <f t="shared" si="220"/>
        <v>0</v>
      </c>
      <c r="OD16" s="454">
        <f t="shared" si="220"/>
        <v>0</v>
      </c>
      <c r="OE16" s="454">
        <f t="shared" si="220"/>
        <v>0</v>
      </c>
      <c r="OF16" s="454">
        <f t="shared" si="220"/>
        <v>0</v>
      </c>
      <c r="OG16" s="454">
        <f t="shared" si="221"/>
        <v>0</v>
      </c>
      <c r="OH16" s="454">
        <f t="shared" si="221"/>
        <v>0</v>
      </c>
      <c r="OI16" s="454">
        <f t="shared" si="221"/>
        <v>0</v>
      </c>
      <c r="OJ16" s="454">
        <f t="shared" si="221"/>
        <v>0</v>
      </c>
      <c r="OK16" s="454">
        <f t="shared" si="221"/>
        <v>0</v>
      </c>
      <c r="OL16" s="454">
        <f t="shared" si="221"/>
        <v>0</v>
      </c>
      <c r="OM16" s="454">
        <f t="shared" si="221"/>
        <v>0</v>
      </c>
      <c r="ON16" s="454">
        <f t="shared" si="221"/>
        <v>0</v>
      </c>
      <c r="OO16" s="454">
        <f t="shared" si="221"/>
        <v>0</v>
      </c>
      <c r="OP16" s="454">
        <f t="shared" si="221"/>
        <v>0</v>
      </c>
      <c r="OQ16" s="454">
        <f t="shared" si="221"/>
        <v>0</v>
      </c>
      <c r="OR16" s="454">
        <f t="shared" si="221"/>
        <v>0</v>
      </c>
      <c r="OS16" s="454">
        <f t="shared" si="221"/>
        <v>0</v>
      </c>
      <c r="OT16" s="454">
        <f t="shared" si="221"/>
        <v>0</v>
      </c>
    </row>
    <row r="17" spans="1:410" s="11" customFormat="1" ht="30">
      <c r="A17" s="19" t="s">
        <v>10</v>
      </c>
      <c r="B17" s="19" t="s">
        <v>11</v>
      </c>
      <c r="C17" s="19" t="s">
        <v>12</v>
      </c>
      <c r="D17" s="19">
        <v>1</v>
      </c>
      <c r="E17" s="19" t="s">
        <v>293</v>
      </c>
      <c r="F17" s="19" t="s">
        <v>420</v>
      </c>
      <c r="G17" s="23">
        <v>9</v>
      </c>
      <c r="H17" s="23"/>
      <c r="I17" s="442">
        <v>23000</v>
      </c>
      <c r="J17" s="20"/>
      <c r="K17" s="20"/>
      <c r="L17" s="20"/>
      <c r="M17" s="20"/>
      <c r="N17" s="20"/>
      <c r="O17" s="442">
        <f t="shared" si="3"/>
        <v>0</v>
      </c>
      <c r="P17" s="21"/>
      <c r="Q17" s="21" t="s">
        <v>43</v>
      </c>
      <c r="R17" s="27">
        <f t="shared" si="4"/>
        <v>61.333333333333336</v>
      </c>
      <c r="S17" s="457">
        <v>2.5</v>
      </c>
      <c r="T17" s="27">
        <f>I17*S17</f>
        <v>57500</v>
      </c>
      <c r="U17" s="21">
        <v>45</v>
      </c>
      <c r="V17" s="19" t="s">
        <v>30</v>
      </c>
      <c r="W17" s="22" t="s">
        <v>101</v>
      </c>
      <c r="X17" s="19" t="s">
        <v>37</v>
      </c>
      <c r="Y17" s="19"/>
      <c r="Z17" s="19" t="s">
        <v>8</v>
      </c>
      <c r="AA17" s="219" t="s">
        <v>84</v>
      </c>
      <c r="AB17" s="219" t="s">
        <v>78</v>
      </c>
      <c r="AC17" s="224">
        <v>45</v>
      </c>
      <c r="AD17" s="224">
        <f t="shared" si="5"/>
        <v>1035000</v>
      </c>
      <c r="AE17" s="24"/>
      <c r="AF17" s="273"/>
      <c r="AG17" s="220">
        <f t="shared" si="6"/>
        <v>1035000</v>
      </c>
      <c r="AH17" s="220">
        <f t="shared" si="7"/>
        <v>1035000</v>
      </c>
      <c r="AI17" s="24" t="s">
        <v>248</v>
      </c>
      <c r="AJ17" s="228">
        <f>VLOOKUP($Q17,'Zoning Density'!$A$1:$E$28,3,)</f>
        <v>375</v>
      </c>
      <c r="AK17" s="228">
        <f t="shared" si="8"/>
        <v>450</v>
      </c>
      <c r="AL17" s="229">
        <f t="shared" si="9"/>
        <v>61.333333333333336</v>
      </c>
      <c r="AM17" s="229">
        <f t="shared" si="10"/>
        <v>51.111111111111114</v>
      </c>
      <c r="AN17" s="228">
        <v>3</v>
      </c>
      <c r="AO17" s="221">
        <f>VLOOKUP($AI17,Funding!$A$1:$G$6,3,FALSE)*$AG17</f>
        <v>0</v>
      </c>
      <c r="AP17" s="221">
        <f>VLOOKUP($AI17,Funding!$A$1:$G$6,4,FALSE)*$AG17</f>
        <v>1035000</v>
      </c>
      <c r="AQ17" s="351"/>
      <c r="AR17" s="274"/>
      <c r="AS17" s="222">
        <f t="shared" si="11"/>
        <v>51</v>
      </c>
      <c r="AT17" s="222"/>
      <c r="AU17" s="222">
        <f t="shared" si="12"/>
        <v>51</v>
      </c>
      <c r="AV17" s="221">
        <f>VLOOKUP($AN17,'Impact Fee'!$A$1:$E$20,5,FALSE)*AU17</f>
        <v>612000</v>
      </c>
      <c r="AW17" s="221">
        <f t="shared" si="13"/>
        <v>0</v>
      </c>
      <c r="AX17" s="221"/>
      <c r="AY17" s="321"/>
      <c r="AZ17" s="221">
        <f t="shared" si="14"/>
        <v>612000</v>
      </c>
      <c r="BA17" s="221">
        <f t="shared" si="15"/>
        <v>612000</v>
      </c>
      <c r="BB17" s="221">
        <f t="shared" si="16"/>
        <v>1647000</v>
      </c>
      <c r="BC17" s="271">
        <f t="shared" si="222"/>
        <v>4.8959999999999999</v>
      </c>
      <c r="BD17" s="271">
        <f t="shared" si="223"/>
        <v>13.176</v>
      </c>
      <c r="BE17" s="271"/>
      <c r="BF17" s="221">
        <f t="shared" si="17"/>
        <v>16728000</v>
      </c>
      <c r="BG17" s="221">
        <f t="shared" si="18"/>
        <v>0</v>
      </c>
      <c r="BH17" s="221">
        <f t="shared" si="19"/>
        <v>0</v>
      </c>
      <c r="BI17" s="221">
        <f t="shared" si="20"/>
        <v>0</v>
      </c>
      <c r="BJ17" s="221">
        <f t="shared" si="21"/>
        <v>0</v>
      </c>
      <c r="BK17" s="221">
        <f t="shared" si="22"/>
        <v>0</v>
      </c>
      <c r="BL17" s="221">
        <f t="shared" si="23"/>
        <v>0</v>
      </c>
      <c r="BM17" s="221">
        <f t="shared" si="24"/>
        <v>0</v>
      </c>
      <c r="BN17" s="259"/>
      <c r="BO17" s="260"/>
      <c r="BP17" s="259">
        <f t="shared" si="25"/>
        <v>51</v>
      </c>
      <c r="BQ17" s="261">
        <v>1</v>
      </c>
      <c r="BR17" s="261">
        <f>IF(BQ17&gt;0.2,0.35,VLOOKUP(BQ17,'Density Bonus'!$A$1:$B$15,2,FALSE))</f>
        <v>0.35</v>
      </c>
      <c r="BS17" s="262">
        <f t="shared" si="26"/>
        <v>51.111111111111114</v>
      </c>
      <c r="BT17" s="262">
        <f>IF(BR17&gt;0,ROUNDUP(BS17,0),ROUNDDOWN(BS17,0))</f>
        <v>52</v>
      </c>
      <c r="BU17" s="349"/>
      <c r="BV17" s="263">
        <f t="shared" si="28"/>
        <v>52</v>
      </c>
      <c r="BW17" s="263">
        <f t="shared" si="29"/>
        <v>0</v>
      </c>
      <c r="BX17" s="264">
        <f t="shared" si="30"/>
        <v>0</v>
      </c>
      <c r="BY17" s="264">
        <f>IF(BQ17&lt;0.15,(VLOOKUP($AN17,'Impact Fee'!$A$1:$E$10,5,FALSE)*BW17),0)</f>
        <v>0</v>
      </c>
      <c r="BZ17" s="264">
        <f t="shared" si="31"/>
        <v>0</v>
      </c>
      <c r="CA17" s="264">
        <f t="shared" si="32"/>
        <v>0</v>
      </c>
      <c r="CB17" s="264">
        <f t="shared" si="33"/>
        <v>0</v>
      </c>
      <c r="CC17" s="264">
        <f t="shared" si="34"/>
        <v>0</v>
      </c>
      <c r="CD17" s="264">
        <f t="shared" si="35"/>
        <v>0</v>
      </c>
      <c r="CE17" s="264">
        <f>CD17*IF(F17="Commercial",CE$3,VLOOKUP($AI17,Funding!$A$1:$G$6,5,FALSE))</f>
        <v>0</v>
      </c>
      <c r="CF17" s="264">
        <f t="shared" si="36"/>
        <v>0</v>
      </c>
      <c r="CG17" s="264">
        <f t="shared" si="37"/>
        <v>-5291104</v>
      </c>
      <c r="CH17" s="264">
        <f t="shared" si="38"/>
        <v>-5291104</v>
      </c>
      <c r="CI17" s="264"/>
      <c r="CJ17" s="264">
        <f t="shared" si="39"/>
        <v>17056000</v>
      </c>
      <c r="CK17" s="264">
        <f t="shared" si="40"/>
        <v>0</v>
      </c>
      <c r="CL17" s="264">
        <f t="shared" si="41"/>
        <v>0</v>
      </c>
      <c r="CM17" s="264">
        <f t="shared" si="42"/>
        <v>0</v>
      </c>
      <c r="CN17" s="264">
        <f t="shared" si="43"/>
        <v>0</v>
      </c>
      <c r="CO17" s="264">
        <f t="shared" si="44"/>
        <v>0</v>
      </c>
      <c r="CP17" s="264">
        <f t="shared" si="45"/>
        <v>0</v>
      </c>
      <c r="CQ17" s="264">
        <f t="shared" si="46"/>
        <v>0</v>
      </c>
      <c r="CR17" s="264">
        <f t="shared" si="47"/>
        <v>0</v>
      </c>
      <c r="CS17" s="520"/>
      <c r="CT17" s="521"/>
      <c r="CU17" s="520">
        <f t="shared" si="48"/>
        <v>51</v>
      </c>
      <c r="CV17" s="522">
        <v>1</v>
      </c>
      <c r="CW17" s="522">
        <f>IF(CV17&gt;0.2,0.35,VLOOKUP(CV17,'Density Bonus'!$A$1:$B$15,2,FALSE))</f>
        <v>0.35</v>
      </c>
      <c r="CX17" s="523">
        <f t="shared" si="49"/>
        <v>51.111111111111114</v>
      </c>
      <c r="CY17" s="523">
        <f>IF(CW17&gt;0,ROUNDUP(CX17,0),ROUNDDOWN(CX17,0))</f>
        <v>52</v>
      </c>
      <c r="CZ17" s="347"/>
      <c r="DA17" s="524">
        <f t="shared" si="51"/>
        <v>52</v>
      </c>
      <c r="DB17" s="524">
        <f t="shared" si="52"/>
        <v>0</v>
      </c>
      <c r="DC17" s="525">
        <f t="shared" si="53"/>
        <v>0</v>
      </c>
      <c r="DD17" s="525">
        <f>IF(CV17&lt;0.4,VLOOKUP($AN17,'Impact Fee'!$A$1:$E$10,5,FALSE)*DB17,0)</f>
        <v>0</v>
      </c>
      <c r="DE17" s="525">
        <f t="shared" si="54"/>
        <v>0</v>
      </c>
      <c r="DF17" s="525">
        <f t="shared" si="55"/>
        <v>0</v>
      </c>
      <c r="DG17" s="525">
        <f t="shared" si="56"/>
        <v>5291104</v>
      </c>
      <c r="DH17" s="525">
        <f t="shared" si="57"/>
        <v>0</v>
      </c>
      <c r="DI17" s="525">
        <f t="shared" si="58"/>
        <v>-5291104</v>
      </c>
      <c r="DJ17" s="525">
        <f t="shared" si="59"/>
        <v>0</v>
      </c>
      <c r="DK17" s="525">
        <f t="shared" si="60"/>
        <v>0</v>
      </c>
      <c r="DL17" s="525">
        <f t="shared" si="61"/>
        <v>0</v>
      </c>
      <c r="DM17" s="525">
        <f t="shared" si="62"/>
        <v>0</v>
      </c>
      <c r="DN17" s="525">
        <f t="shared" si="63"/>
        <v>0</v>
      </c>
      <c r="DO17" s="525">
        <f>VLOOKUP($AI17,Funding!$A$1:$G$6,6,FALSE)*DN17</f>
        <v>0</v>
      </c>
      <c r="DP17" s="525">
        <f t="shared" si="64"/>
        <v>0</v>
      </c>
      <c r="DQ17" s="525">
        <f t="shared" si="65"/>
        <v>-5291104</v>
      </c>
      <c r="DR17" s="525">
        <f t="shared" si="66"/>
        <v>-5291104</v>
      </c>
      <c r="DS17" s="525"/>
      <c r="DT17" s="525">
        <f t="shared" si="67"/>
        <v>17056000</v>
      </c>
      <c r="DU17" s="525">
        <f t="shared" si="68"/>
        <v>0</v>
      </c>
      <c r="DV17" s="525">
        <f t="shared" si="69"/>
        <v>0</v>
      </c>
      <c r="DW17" s="525">
        <f t="shared" si="70"/>
        <v>0</v>
      </c>
      <c r="DX17" s="525">
        <f t="shared" si="71"/>
        <v>0</v>
      </c>
      <c r="DY17" s="525">
        <f t="shared" si="72"/>
        <v>0</v>
      </c>
      <c r="DZ17" s="525">
        <f t="shared" si="73"/>
        <v>0</v>
      </c>
      <c r="EA17" s="819"/>
      <c r="EB17" s="820"/>
      <c r="EC17" s="819">
        <f t="shared" si="74"/>
        <v>51</v>
      </c>
      <c r="ED17" s="821">
        <v>1</v>
      </c>
      <c r="EE17" s="821">
        <f>IF(ED17&gt;0.2,0.35,VLOOKUP(ED17,'Density Bonus'!$A$1:$B$15,2,FALSE))</f>
        <v>0.35</v>
      </c>
      <c r="EF17" s="822">
        <f t="shared" si="75"/>
        <v>51.111111111111114</v>
      </c>
      <c r="EG17" s="822">
        <f>IF(EE17&gt;0,ROUNDUP(EF17,0),ROUNDDOWN(EF17,0))</f>
        <v>52</v>
      </c>
      <c r="EH17" s="823"/>
      <c r="EI17" s="824">
        <f t="shared" si="77"/>
        <v>52</v>
      </c>
      <c r="EJ17" s="824">
        <f t="shared" si="78"/>
        <v>0</v>
      </c>
      <c r="EK17" s="825">
        <f t="shared" si="79"/>
        <v>0</v>
      </c>
      <c r="EL17" s="825">
        <f>IF(ED17&lt;0.4,VLOOKUP($AN17,'Impact Fee'!$A$1:$E$10,5,FALSE)*EJ17,0)</f>
        <v>0</v>
      </c>
      <c r="EM17" s="825">
        <f t="shared" si="80"/>
        <v>0</v>
      </c>
      <c r="EN17" s="825">
        <f t="shared" si="81"/>
        <v>0</v>
      </c>
      <c r="EO17" s="825">
        <f t="shared" si="82"/>
        <v>5291104</v>
      </c>
      <c r="EP17" s="825">
        <f t="shared" si="83"/>
        <v>0</v>
      </c>
      <c r="EQ17" s="825">
        <f t="shared" si="84"/>
        <v>-5291104</v>
      </c>
      <c r="ER17" s="825">
        <f t="shared" si="85"/>
        <v>0</v>
      </c>
      <c r="ES17" s="825">
        <f t="shared" si="86"/>
        <v>0</v>
      </c>
      <c r="ET17" s="825">
        <f t="shared" si="87"/>
        <v>0</v>
      </c>
      <c r="EU17" s="825">
        <f t="shared" si="88"/>
        <v>0</v>
      </c>
      <c r="EV17" s="825">
        <f t="shared" si="89"/>
        <v>0</v>
      </c>
      <c r="EW17" s="825">
        <f>VLOOKUP($AI17,Funding!$A$1:$G$6,6,FALSE)*EV17</f>
        <v>0</v>
      </c>
      <c r="EX17" s="825">
        <f t="shared" si="90"/>
        <v>0</v>
      </c>
      <c r="EY17" s="825">
        <f t="shared" si="91"/>
        <v>-5291104</v>
      </c>
      <c r="EZ17" s="825">
        <f t="shared" si="92"/>
        <v>-5291104</v>
      </c>
      <c r="FA17" s="825"/>
      <c r="FB17" s="825">
        <f t="shared" si="93"/>
        <v>17056000</v>
      </c>
      <c r="FC17" s="825">
        <f t="shared" si="94"/>
        <v>0</v>
      </c>
      <c r="FD17" s="825">
        <f t="shared" si="95"/>
        <v>0</v>
      </c>
      <c r="FE17" s="825">
        <f t="shared" si="96"/>
        <v>0</v>
      </c>
      <c r="FF17" s="825">
        <f t="shared" si="97"/>
        <v>0</v>
      </c>
      <c r="FG17" s="825">
        <f t="shared" si="98"/>
        <v>0</v>
      </c>
      <c r="FH17" s="825">
        <f t="shared" si="99"/>
        <v>0</v>
      </c>
      <c r="FI17" s="545"/>
      <c r="FJ17" s="546"/>
      <c r="FK17" s="546"/>
      <c r="FL17" s="545">
        <f t="shared" si="100"/>
        <v>51</v>
      </c>
      <c r="FM17" s="547">
        <v>0.15</v>
      </c>
      <c r="FN17" s="547">
        <f>IF(FM17&gt;0.2,0.35,VLOOKUP(FM17,'Density Bonus'!$A$1:$B$15,2,FALSE))</f>
        <v>0.27500000000000002</v>
      </c>
      <c r="FO17" s="548">
        <f t="shared" si="101"/>
        <v>51.111111111111114</v>
      </c>
      <c r="FP17" s="548">
        <f>IF(FN17&gt;0,ROUNDUP(FO17,0),ROUNDDOWN(FO17,0))</f>
        <v>52</v>
      </c>
      <c r="FQ17" s="347"/>
      <c r="FR17" s="549">
        <f t="shared" si="103"/>
        <v>8</v>
      </c>
      <c r="FS17" s="549">
        <f t="shared" si="104"/>
        <v>44</v>
      </c>
      <c r="FT17" s="550">
        <f t="shared" si="105"/>
        <v>0</v>
      </c>
      <c r="FU17" s="550">
        <f>IF(FM17&lt;0.15,(VLOOKUP($AN17,'Impact Fee'!$A$1:$E$10,5,FALSE)*FS17),0)</f>
        <v>0</v>
      </c>
      <c r="FV17" s="550">
        <f t="shared" si="106"/>
        <v>0</v>
      </c>
      <c r="FW17" s="550">
        <f t="shared" si="107"/>
        <v>1035000</v>
      </c>
      <c r="FX17" s="550">
        <f t="shared" si="108"/>
        <v>1796531.1999999997</v>
      </c>
      <c r="FY17" s="550">
        <f t="shared" si="109"/>
        <v>0</v>
      </c>
      <c r="FZ17" s="550">
        <f t="shared" si="110"/>
        <v>0</v>
      </c>
      <c r="GA17" s="550">
        <f>VLOOKUP($AI17,Funding!$A$1:$G$6,3,FALSE)*FZ17</f>
        <v>0</v>
      </c>
      <c r="GB17" s="550">
        <f t="shared" si="111"/>
        <v>0</v>
      </c>
      <c r="GC17" s="550">
        <f t="shared" si="112"/>
        <v>-761531.19999999972</v>
      </c>
      <c r="GD17" s="550">
        <f t="shared" si="113"/>
        <v>-761531.19999999972</v>
      </c>
      <c r="GE17" s="550"/>
      <c r="GF17" s="550">
        <f t="shared" si="114"/>
        <v>17056000</v>
      </c>
      <c r="GG17" s="550">
        <f t="shared" si="115"/>
        <v>0</v>
      </c>
      <c r="GH17" s="550">
        <f t="shared" si="116"/>
        <v>0</v>
      </c>
      <c r="GI17" s="550">
        <f t="shared" si="117"/>
        <v>0</v>
      </c>
      <c r="GJ17" s="550">
        <f t="shared" si="118"/>
        <v>0</v>
      </c>
      <c r="GK17" s="550">
        <f t="shared" si="119"/>
        <v>0</v>
      </c>
      <c r="GL17" s="550">
        <f t="shared" si="120"/>
        <v>0</v>
      </c>
      <c r="GM17" s="550">
        <f t="shared" si="121"/>
        <v>0</v>
      </c>
      <c r="GN17" s="550">
        <f t="shared" si="122"/>
        <v>0</v>
      </c>
      <c r="GO17" s="199"/>
      <c r="GP17" s="275"/>
      <c r="GQ17" s="199">
        <f t="shared" si="123"/>
        <v>51</v>
      </c>
      <c r="GR17" s="34">
        <v>1</v>
      </c>
      <c r="GS17" s="34">
        <f>IF(GR17&gt;0.2,0.35,VLOOKUP(GR17,'Density Bonus'!$A$1:$B$15,2,FALSE))</f>
        <v>0.35</v>
      </c>
      <c r="GT17" s="235">
        <f t="shared" si="124"/>
        <v>51.111111111111114</v>
      </c>
      <c r="GU17" s="235">
        <f>IF(GS17&gt;0,ROUNDUP(GT17,0),ROUNDDOWN(GT17,0))</f>
        <v>52</v>
      </c>
      <c r="GV17" s="347"/>
      <c r="GW17" s="31">
        <f t="shared" si="126"/>
        <v>52</v>
      </c>
      <c r="GX17" s="31">
        <f t="shared" si="127"/>
        <v>0</v>
      </c>
      <c r="GY17" s="196" t="str">
        <f t="shared" si="128"/>
        <v/>
      </c>
      <c r="GZ17" s="238">
        <f t="shared" si="129"/>
        <v>0</v>
      </c>
      <c r="HA17" s="238">
        <f t="shared" si="130"/>
        <v>0</v>
      </c>
      <c r="HB17" s="238">
        <f t="shared" si="131"/>
        <v>0</v>
      </c>
      <c r="HC17" s="238">
        <f t="shared" si="224"/>
        <v>0</v>
      </c>
      <c r="HD17" s="238">
        <f>VLOOKUP($AI17,Funding!$A$1:$G$6,7,FALSE)*HC17</f>
        <v>0</v>
      </c>
      <c r="HE17" s="238">
        <f t="shared" si="225"/>
        <v>0</v>
      </c>
      <c r="HF17" s="238">
        <f t="shared" si="226"/>
        <v>-5291104</v>
      </c>
      <c r="HG17" s="238">
        <f t="shared" si="132"/>
        <v>-5291104</v>
      </c>
      <c r="HH17" s="238"/>
      <c r="HI17" s="238">
        <f t="shared" si="133"/>
        <v>17056000</v>
      </c>
      <c r="HJ17" s="238">
        <f t="shared" si="134"/>
        <v>0</v>
      </c>
      <c r="HK17" s="238">
        <f t="shared" si="135"/>
        <v>0</v>
      </c>
      <c r="HL17" s="238">
        <f t="shared" si="136"/>
        <v>0</v>
      </c>
      <c r="HM17" s="238">
        <f t="shared" si="137"/>
        <v>0</v>
      </c>
      <c r="HN17" s="238">
        <f t="shared" si="138"/>
        <v>0</v>
      </c>
      <c r="HO17" s="238">
        <f t="shared" si="139"/>
        <v>0</v>
      </c>
      <c r="HP17" s="397"/>
      <c r="HQ17" s="424"/>
      <c r="HR17" s="426">
        <f t="shared" si="140"/>
        <v>1035000</v>
      </c>
      <c r="HS17" s="425">
        <f t="shared" si="141"/>
        <v>0</v>
      </c>
      <c r="HT17" s="425">
        <f t="shared" si="142"/>
        <v>51</v>
      </c>
      <c r="HU17" s="429">
        <f t="shared" si="228"/>
        <v>0</v>
      </c>
      <c r="HV17" s="429">
        <f t="shared" si="227"/>
        <v>0</v>
      </c>
      <c r="HW17" s="429">
        <f t="shared" si="227"/>
        <v>0</v>
      </c>
      <c r="HX17" s="429">
        <f t="shared" si="227"/>
        <v>0</v>
      </c>
      <c r="HY17" s="429">
        <f t="shared" si="227"/>
        <v>0</v>
      </c>
      <c r="HZ17" s="426">
        <f t="shared" si="144"/>
        <v>328000</v>
      </c>
      <c r="IA17" s="426"/>
      <c r="IB17" s="426"/>
      <c r="IC17" s="425"/>
      <c r="ID17" s="425"/>
      <c r="IE17" s="425"/>
      <c r="IF17" s="427">
        <f>((HR17+(HT17*HZ17)+(HU17*IA17)+(HV17*IB17)+(HW17*IC17)+(HX17*ID17))*0.01*0.29)</f>
        <v>51512.7</v>
      </c>
      <c r="IG17" s="428">
        <f t="shared" si="145"/>
        <v>29539.868999999992</v>
      </c>
      <c r="IH17" s="428">
        <f t="shared" si="146"/>
        <v>0</v>
      </c>
      <c r="II17" s="428">
        <f t="shared" si="147"/>
        <v>21559.069350000002</v>
      </c>
      <c r="IJ17" s="428">
        <f t="shared" si="148"/>
        <v>0</v>
      </c>
      <c r="IK17" s="428">
        <f t="shared" si="149"/>
        <v>102611.63834999999</v>
      </c>
      <c r="IL17" s="429">
        <f t="shared" si="150"/>
        <v>0</v>
      </c>
      <c r="IM17" s="427">
        <f>Sites!AG17</f>
        <v>1035000</v>
      </c>
      <c r="IN17" s="428">
        <f t="shared" si="151"/>
        <v>15525</v>
      </c>
      <c r="IO17" s="429">
        <f t="shared" si="152"/>
        <v>83.64</v>
      </c>
      <c r="IP17" s="426">
        <f t="shared" si="153"/>
        <v>3701337.224799986</v>
      </c>
      <c r="IQ17" s="426">
        <f t="shared" si="154"/>
        <v>1985755.2048618554</v>
      </c>
      <c r="IR17" s="430">
        <v>2023</v>
      </c>
      <c r="IS17" s="431"/>
      <c r="IT17" s="431"/>
      <c r="IU17" s="431"/>
      <c r="IV17" s="431"/>
      <c r="IW17" s="428"/>
      <c r="IX17" s="428"/>
      <c r="IY17" s="428">
        <f>IY$4*$IK17</f>
        <v>115557.37088887864</v>
      </c>
      <c r="IZ17" s="428">
        <f t="shared" si="155"/>
        <v>117868.51830665619</v>
      </c>
      <c r="JA17" s="428">
        <f t="shared" si="155"/>
        <v>120225.88867278933</v>
      </c>
      <c r="JB17" s="428">
        <f t="shared" si="155"/>
        <v>122630.40644624511</v>
      </c>
      <c r="JC17" s="428">
        <f t="shared" si="155"/>
        <v>125083.01457517002</v>
      </c>
      <c r="JD17" s="428">
        <f t="shared" si="155"/>
        <v>127584.67486667339</v>
      </c>
      <c r="JE17" s="428">
        <f t="shared" si="155"/>
        <v>130136.36836400688</v>
      </c>
      <c r="JF17" s="428">
        <f t="shared" si="155"/>
        <v>132739.095731287</v>
      </c>
      <c r="JG17" s="428">
        <f t="shared" si="155"/>
        <v>135393.87764591275</v>
      </c>
      <c r="JH17" s="428">
        <f t="shared" si="155"/>
        <v>138101.75519883097</v>
      </c>
      <c r="JI17" s="428">
        <f t="shared" si="155"/>
        <v>140863.79030280764</v>
      </c>
      <c r="JJ17" s="428">
        <f t="shared" si="156"/>
        <v>143681.0661088638</v>
      </c>
      <c r="JK17" s="428">
        <f t="shared" si="156"/>
        <v>146554.68743104106</v>
      </c>
      <c r="JL17" s="428">
        <f t="shared" si="156"/>
        <v>149485.78117966186</v>
      </c>
      <c r="JM17" s="428">
        <f t="shared" si="156"/>
        <v>152475.49680325511</v>
      </c>
      <c r="JN17" s="428">
        <f t="shared" si="156"/>
        <v>155525.0067393202</v>
      </c>
      <c r="JO17" s="428">
        <f t="shared" si="156"/>
        <v>158635.50687410662</v>
      </c>
      <c r="JP17" s="428">
        <f t="shared" si="156"/>
        <v>161808.21701158874</v>
      </c>
      <c r="JQ17" s="428">
        <f t="shared" si="156"/>
        <v>165044.38135182051</v>
      </c>
      <c r="JR17" s="428">
        <f t="shared" si="156"/>
        <v>168345.26897885691</v>
      </c>
      <c r="JS17" s="428">
        <f t="shared" si="156"/>
        <v>171712.17435843407</v>
      </c>
      <c r="JT17" s="428">
        <f t="shared" si="156"/>
        <v>175146.41784560273</v>
      </c>
      <c r="JU17" s="428">
        <f t="shared" si="156"/>
        <v>178649.34620251483</v>
      </c>
      <c r="JV17" s="428">
        <f t="shared" si="156"/>
        <v>182222.33312656509</v>
      </c>
      <c r="JW17" s="428">
        <f t="shared" si="156"/>
        <v>185866.77978909641</v>
      </c>
      <c r="JX17" s="432"/>
      <c r="JY17" s="435">
        <f t="shared" si="157"/>
        <v>52</v>
      </c>
      <c r="JZ17" s="435">
        <f t="shared" si="158"/>
        <v>0</v>
      </c>
      <c r="KA17" s="435">
        <f t="shared" si="159"/>
        <v>0</v>
      </c>
      <c r="KB17" s="435">
        <f t="shared" si="160"/>
        <v>0</v>
      </c>
      <c r="KC17" s="435">
        <f t="shared" si="161"/>
        <v>0</v>
      </c>
      <c r="KD17" s="435">
        <f t="shared" si="162"/>
        <v>0</v>
      </c>
      <c r="KE17" s="435">
        <f t="shared" si="163"/>
        <v>0</v>
      </c>
      <c r="KF17" s="432">
        <f t="shared" si="164"/>
        <v>328000</v>
      </c>
      <c r="KG17" s="445">
        <f t="shared" si="165"/>
        <v>0</v>
      </c>
      <c r="KH17" s="445">
        <f t="shared" si="166"/>
        <v>0</v>
      </c>
      <c r="KI17" s="445">
        <f t="shared" si="167"/>
        <v>0</v>
      </c>
      <c r="KJ17" s="445">
        <f t="shared" si="168"/>
        <v>0</v>
      </c>
      <c r="KK17" s="445">
        <f t="shared" si="169"/>
        <v>0</v>
      </c>
      <c r="KL17" s="434">
        <v>0</v>
      </c>
      <c r="KM17" s="432">
        <f t="shared" si="170"/>
        <v>0</v>
      </c>
      <c r="KN17" s="432">
        <f t="shared" si="171"/>
        <v>0</v>
      </c>
      <c r="KO17" s="432">
        <f t="shared" si="172"/>
        <v>0</v>
      </c>
      <c r="KP17" s="432">
        <f t="shared" si="173"/>
        <v>0</v>
      </c>
      <c r="KQ17" s="432">
        <f t="shared" si="174"/>
        <v>0</v>
      </c>
      <c r="KR17" s="435">
        <f t="shared" si="175"/>
        <v>0</v>
      </c>
      <c r="KS17" s="434">
        <f t="shared" si="176"/>
        <v>0</v>
      </c>
      <c r="KT17" s="432">
        <f t="shared" si="177"/>
        <v>0</v>
      </c>
      <c r="KU17" s="435">
        <f t="shared" si="178"/>
        <v>85.28</v>
      </c>
      <c r="KV17" s="433">
        <f t="shared" si="179"/>
        <v>0</v>
      </c>
      <c r="KW17" s="433">
        <f t="shared" si="180"/>
        <v>0</v>
      </c>
      <c r="KX17" s="436">
        <f t="shared" si="181"/>
        <v>2023</v>
      </c>
      <c r="KY17" s="411"/>
      <c r="KZ17" s="411"/>
      <c r="LA17" s="411"/>
      <c r="LB17" s="411"/>
      <c r="LC17" s="411"/>
      <c r="LD17" s="411"/>
      <c r="LE17" s="446">
        <f>LE$4*$KQ17</f>
        <v>0</v>
      </c>
      <c r="LF17" s="446">
        <f t="shared" si="182"/>
        <v>0</v>
      </c>
      <c r="LG17" s="446">
        <f t="shared" si="182"/>
        <v>0</v>
      </c>
      <c r="LH17" s="446">
        <f t="shared" si="182"/>
        <v>0</v>
      </c>
      <c r="LI17" s="446">
        <f t="shared" si="182"/>
        <v>0</v>
      </c>
      <c r="LJ17" s="446">
        <f t="shared" si="182"/>
        <v>0</v>
      </c>
      <c r="LK17" s="446">
        <f t="shared" si="182"/>
        <v>0</v>
      </c>
      <c r="LL17" s="446">
        <f t="shared" si="182"/>
        <v>0</v>
      </c>
      <c r="LM17" s="446">
        <f t="shared" si="182"/>
        <v>0</v>
      </c>
      <c r="LN17" s="446">
        <f t="shared" si="182"/>
        <v>0</v>
      </c>
      <c r="LO17" s="446">
        <f t="shared" si="182"/>
        <v>0</v>
      </c>
      <c r="LP17" s="446">
        <f t="shared" si="183"/>
        <v>0</v>
      </c>
      <c r="LQ17" s="446">
        <f t="shared" si="183"/>
        <v>0</v>
      </c>
      <c r="LR17" s="446">
        <f t="shared" si="183"/>
        <v>0</v>
      </c>
      <c r="LS17" s="446">
        <f t="shared" si="183"/>
        <v>0</v>
      </c>
      <c r="LT17" s="446">
        <f t="shared" si="183"/>
        <v>0</v>
      </c>
      <c r="LU17" s="446">
        <f t="shared" si="183"/>
        <v>0</v>
      </c>
      <c r="LV17" s="446">
        <f t="shared" si="183"/>
        <v>0</v>
      </c>
      <c r="LW17" s="446">
        <f t="shared" si="183"/>
        <v>0</v>
      </c>
      <c r="LX17" s="446">
        <f t="shared" si="183"/>
        <v>0</v>
      </c>
      <c r="LY17" s="446">
        <f t="shared" si="183"/>
        <v>0</v>
      </c>
      <c r="LZ17" s="446">
        <f t="shared" si="183"/>
        <v>0</v>
      </c>
      <c r="MA17" s="446">
        <f t="shared" si="183"/>
        <v>0</v>
      </c>
      <c r="MB17" s="446">
        <f t="shared" si="183"/>
        <v>0</v>
      </c>
      <c r="MC17" s="446">
        <f t="shared" si="183"/>
        <v>0</v>
      </c>
      <c r="MD17" s="496"/>
      <c r="ME17" s="497">
        <f t="shared" si="184"/>
        <v>0</v>
      </c>
      <c r="MF17" s="497">
        <f t="shared" si="185"/>
        <v>0</v>
      </c>
      <c r="MG17" s="497">
        <f t="shared" si="186"/>
        <v>0</v>
      </c>
      <c r="MH17" s="497">
        <f t="shared" si="187"/>
        <v>0</v>
      </c>
      <c r="MI17" s="497">
        <f t="shared" si="188"/>
        <v>0</v>
      </c>
      <c r="MJ17" s="498">
        <f t="shared" si="189"/>
        <v>0</v>
      </c>
      <c r="MK17" s="498">
        <f t="shared" si="190"/>
        <v>0</v>
      </c>
      <c r="ML17" s="498">
        <f t="shared" si="191"/>
        <v>0</v>
      </c>
      <c r="MM17" s="498">
        <f t="shared" si="192"/>
        <v>0</v>
      </c>
      <c r="MN17" s="498">
        <f t="shared" si="193"/>
        <v>0</v>
      </c>
      <c r="MO17" s="454"/>
      <c r="MP17" s="448">
        <f t="shared" si="194"/>
        <v>52</v>
      </c>
      <c r="MQ17" s="448">
        <f t="shared" si="195"/>
        <v>0</v>
      </c>
      <c r="MR17" s="448">
        <f t="shared" si="196"/>
        <v>0</v>
      </c>
      <c r="MS17" s="448">
        <f t="shared" si="197"/>
        <v>0</v>
      </c>
      <c r="MT17" s="448">
        <f t="shared" si="198"/>
        <v>0</v>
      </c>
      <c r="MU17" s="448">
        <f t="shared" si="199"/>
        <v>0</v>
      </c>
      <c r="MV17" s="448">
        <f t="shared" si="200"/>
        <v>0</v>
      </c>
      <c r="MW17" s="450">
        <f t="shared" si="201"/>
        <v>328000</v>
      </c>
      <c r="MX17" s="450">
        <f t="shared" si="202"/>
        <v>0</v>
      </c>
      <c r="MY17" s="450">
        <f t="shared" si="203"/>
        <v>0</v>
      </c>
      <c r="MZ17" s="450">
        <f t="shared" si="204"/>
        <v>0</v>
      </c>
      <c r="NA17" s="450">
        <f t="shared" si="205"/>
        <v>0</v>
      </c>
      <c r="NB17" s="450">
        <f t="shared" si="206"/>
        <v>0</v>
      </c>
      <c r="NC17" s="451">
        <f t="shared" si="207"/>
        <v>0</v>
      </c>
      <c r="ND17" s="449">
        <f t="shared" si="208"/>
        <v>0</v>
      </c>
      <c r="NE17" s="449">
        <f t="shared" si="209"/>
        <v>0</v>
      </c>
      <c r="NF17" s="449">
        <f t="shared" si="210"/>
        <v>0</v>
      </c>
      <c r="NG17" s="449">
        <f t="shared" si="211"/>
        <v>0</v>
      </c>
      <c r="NH17" s="449">
        <f t="shared" si="212"/>
        <v>0</v>
      </c>
      <c r="NI17" s="448">
        <f t="shared" si="213"/>
        <v>0</v>
      </c>
      <c r="NJ17" s="451">
        <f t="shared" si="214"/>
        <v>0</v>
      </c>
      <c r="NK17" s="449">
        <f t="shared" si="215"/>
        <v>0</v>
      </c>
      <c r="NL17" s="448">
        <f t="shared" si="216"/>
        <v>85.28</v>
      </c>
      <c r="NM17" s="452">
        <f t="shared" si="217"/>
        <v>0</v>
      </c>
      <c r="NN17" s="452">
        <f t="shared" si="218"/>
        <v>0</v>
      </c>
      <c r="NO17" s="453">
        <f t="shared" si="219"/>
        <v>2023</v>
      </c>
      <c r="NP17" s="423"/>
      <c r="NQ17" s="423"/>
      <c r="NR17" s="423"/>
      <c r="NS17" s="423"/>
      <c r="NT17" s="423"/>
      <c r="NU17" s="423"/>
      <c r="NV17" s="454">
        <f>NV$4*$NH17</f>
        <v>0</v>
      </c>
      <c r="NW17" s="454">
        <f t="shared" si="220"/>
        <v>0</v>
      </c>
      <c r="NX17" s="454">
        <f t="shared" si="220"/>
        <v>0</v>
      </c>
      <c r="NY17" s="454">
        <f t="shared" si="220"/>
        <v>0</v>
      </c>
      <c r="NZ17" s="454">
        <f t="shared" si="220"/>
        <v>0</v>
      </c>
      <c r="OA17" s="454">
        <f t="shared" si="220"/>
        <v>0</v>
      </c>
      <c r="OB17" s="454">
        <f t="shared" si="220"/>
        <v>0</v>
      </c>
      <c r="OC17" s="454">
        <f t="shared" si="220"/>
        <v>0</v>
      </c>
      <c r="OD17" s="454">
        <f t="shared" si="220"/>
        <v>0</v>
      </c>
      <c r="OE17" s="454">
        <f t="shared" si="220"/>
        <v>0</v>
      </c>
      <c r="OF17" s="454">
        <f t="shared" si="220"/>
        <v>0</v>
      </c>
      <c r="OG17" s="454">
        <f t="shared" si="221"/>
        <v>0</v>
      </c>
      <c r="OH17" s="454">
        <f t="shared" si="221"/>
        <v>0</v>
      </c>
      <c r="OI17" s="454">
        <f t="shared" si="221"/>
        <v>0</v>
      </c>
      <c r="OJ17" s="454">
        <f t="shared" si="221"/>
        <v>0</v>
      </c>
      <c r="OK17" s="454">
        <f t="shared" si="221"/>
        <v>0</v>
      </c>
      <c r="OL17" s="454">
        <f t="shared" si="221"/>
        <v>0</v>
      </c>
      <c r="OM17" s="454">
        <f t="shared" si="221"/>
        <v>0</v>
      </c>
      <c r="ON17" s="454">
        <f t="shared" si="221"/>
        <v>0</v>
      </c>
      <c r="OO17" s="454">
        <f t="shared" si="221"/>
        <v>0</v>
      </c>
      <c r="OP17" s="454">
        <f t="shared" si="221"/>
        <v>0</v>
      </c>
      <c r="OQ17" s="454">
        <f t="shared" si="221"/>
        <v>0</v>
      </c>
      <c r="OR17" s="454">
        <f t="shared" si="221"/>
        <v>0</v>
      </c>
      <c r="OS17" s="454">
        <f t="shared" si="221"/>
        <v>0</v>
      </c>
      <c r="OT17" s="454">
        <f t="shared" si="221"/>
        <v>0</v>
      </c>
    </row>
    <row r="18" spans="1:410" s="11" customFormat="1" ht="30">
      <c r="A18" s="19" t="s">
        <v>574</v>
      </c>
      <c r="B18" s="19" t="s">
        <v>338</v>
      </c>
      <c r="C18" s="19" t="s">
        <v>21</v>
      </c>
      <c r="D18" s="19">
        <v>1</v>
      </c>
      <c r="E18" s="19" t="s">
        <v>293</v>
      </c>
      <c r="F18" s="19" t="s">
        <v>420</v>
      </c>
      <c r="G18" s="23">
        <v>17</v>
      </c>
      <c r="H18" s="23"/>
      <c r="I18" s="442">
        <v>205337</v>
      </c>
      <c r="J18" s="20"/>
      <c r="K18" s="20"/>
      <c r="L18" s="20"/>
      <c r="M18" s="20"/>
      <c r="N18" s="20"/>
      <c r="O18" s="442">
        <f t="shared" si="3"/>
        <v>0</v>
      </c>
      <c r="P18" s="21"/>
      <c r="Q18" s="21" t="s">
        <v>116</v>
      </c>
      <c r="R18" s="27">
        <f t="shared" si="4"/>
        <v>17.111416666666667</v>
      </c>
      <c r="S18" s="457" t="s">
        <v>27</v>
      </c>
      <c r="T18" s="27">
        <v>0</v>
      </c>
      <c r="U18" s="21"/>
      <c r="V18" s="19" t="s">
        <v>51</v>
      </c>
      <c r="W18" s="22" t="s">
        <v>26</v>
      </c>
      <c r="X18" s="19" t="s">
        <v>96</v>
      </c>
      <c r="Y18" s="19" t="s">
        <v>26</v>
      </c>
      <c r="Z18" s="19" t="s">
        <v>20</v>
      </c>
      <c r="AA18" s="219"/>
      <c r="AB18" s="226" t="s">
        <v>235</v>
      </c>
      <c r="AC18" s="224">
        <f>150000/(I18/17)</f>
        <v>12.418609407948884</v>
      </c>
      <c r="AD18" s="219"/>
      <c r="AE18" s="24">
        <f>AS18*150000</f>
        <v>2550000</v>
      </c>
      <c r="AF18" s="273" t="s">
        <v>236</v>
      </c>
      <c r="AG18" s="220">
        <f t="shared" si="6"/>
        <v>2550000</v>
      </c>
      <c r="AH18" s="220">
        <f t="shared" si="7"/>
        <v>2550000</v>
      </c>
      <c r="AI18" s="24" t="s">
        <v>251</v>
      </c>
      <c r="AJ18" s="228">
        <f>VLOOKUP($Q18,'Zoning Density'!$A$1:$E$28,3,)</f>
        <v>12000</v>
      </c>
      <c r="AK18" s="228">
        <f t="shared" si="8"/>
        <v>12000</v>
      </c>
      <c r="AL18" s="229">
        <f t="shared" si="9"/>
        <v>17.111416666666667</v>
      </c>
      <c r="AM18" s="229">
        <f t="shared" si="10"/>
        <v>17.111416666666667</v>
      </c>
      <c r="AN18" s="228" t="s">
        <v>267</v>
      </c>
      <c r="AO18" s="221">
        <f>VLOOKUP($AI18,Funding!$A$1:$G$6,3,FALSE)*$AG18</f>
        <v>184875</v>
      </c>
      <c r="AP18" s="221">
        <f>VLOOKUP($AI18,Funding!$A$1:$G$6,4,FALSE)*$AG18</f>
        <v>184875</v>
      </c>
      <c r="AQ18" s="351"/>
      <c r="AR18" s="274"/>
      <c r="AS18" s="222">
        <f t="shared" si="11"/>
        <v>17</v>
      </c>
      <c r="AT18" s="222"/>
      <c r="AU18" s="222">
        <f t="shared" si="12"/>
        <v>17</v>
      </c>
      <c r="AV18" s="221">
        <f>VLOOKUP($AN18,'Impact Fee'!$A$1:$E$20,5,FALSE)*AU18</f>
        <v>391000</v>
      </c>
      <c r="AW18" s="221">
        <f t="shared" si="13"/>
        <v>0</v>
      </c>
      <c r="AX18" s="221"/>
      <c r="AY18" s="321"/>
      <c r="AZ18" s="221">
        <f t="shared" si="14"/>
        <v>391000</v>
      </c>
      <c r="BA18" s="221">
        <f t="shared" si="15"/>
        <v>575875</v>
      </c>
      <c r="BB18" s="221">
        <f t="shared" si="16"/>
        <v>575875</v>
      </c>
      <c r="BC18" s="271">
        <f t="shared" si="222"/>
        <v>4.6070000000000002</v>
      </c>
      <c r="BD18" s="271">
        <f t="shared" si="223"/>
        <v>4.6070000000000002</v>
      </c>
      <c r="BE18" s="271"/>
      <c r="BF18" s="221">
        <f t="shared" si="17"/>
        <v>5576000</v>
      </c>
      <c r="BG18" s="221">
        <f t="shared" si="18"/>
        <v>0</v>
      </c>
      <c r="BH18" s="221">
        <f t="shared" si="19"/>
        <v>0</v>
      </c>
      <c r="BI18" s="221">
        <f t="shared" si="20"/>
        <v>0</v>
      </c>
      <c r="BJ18" s="221">
        <f t="shared" si="21"/>
        <v>0</v>
      </c>
      <c r="BK18" s="221">
        <f t="shared" si="22"/>
        <v>0</v>
      </c>
      <c r="BL18" s="221">
        <f t="shared" si="23"/>
        <v>0</v>
      </c>
      <c r="BM18" s="221">
        <f t="shared" si="24"/>
        <v>0</v>
      </c>
      <c r="BN18" s="259"/>
      <c r="BO18" s="260"/>
      <c r="BP18" s="259">
        <f t="shared" si="25"/>
        <v>17</v>
      </c>
      <c r="BQ18" s="261">
        <v>1</v>
      </c>
      <c r="BR18" s="261">
        <f>IF(BQ18&gt;0.2,0.35,VLOOKUP(BQ18,'Density Bonus'!$A$1:$B$15,2,FALSE))</f>
        <v>0.35</v>
      </c>
      <c r="BS18" s="262">
        <f t="shared" si="26"/>
        <v>22.950000000000003</v>
      </c>
      <c r="BT18" s="262">
        <f>IF(BR18&gt;0,ROUNDUP(BS18,0),ROUNDDOWN(BS18,0))</f>
        <v>23</v>
      </c>
      <c r="BU18" s="349"/>
      <c r="BV18" s="263">
        <f t="shared" si="28"/>
        <v>23</v>
      </c>
      <c r="BW18" s="263">
        <f t="shared" si="29"/>
        <v>0</v>
      </c>
      <c r="BX18" s="264">
        <f t="shared" si="30"/>
        <v>0</v>
      </c>
      <c r="BY18" s="264">
        <f>IF(BQ18&lt;0.15,(VLOOKUP($AN18,'Impact Fee'!$A$1:$E$10,5,FALSE)*BW18),0)</f>
        <v>0</v>
      </c>
      <c r="BZ18" s="264">
        <f t="shared" si="31"/>
        <v>0</v>
      </c>
      <c r="CA18" s="264">
        <f t="shared" si="32"/>
        <v>0</v>
      </c>
      <c r="CB18" s="264">
        <f t="shared" si="33"/>
        <v>0</v>
      </c>
      <c r="CC18" s="264">
        <f t="shared" si="34"/>
        <v>0</v>
      </c>
      <c r="CD18" s="264">
        <f t="shared" si="35"/>
        <v>0</v>
      </c>
      <c r="CE18" s="264">
        <f>CD18*IF(F18="Commercial",CE$3,VLOOKUP($AI18,Funding!$A$1:$G$6,5,FALSE))</f>
        <v>0</v>
      </c>
      <c r="CF18" s="264">
        <f t="shared" si="36"/>
        <v>0</v>
      </c>
      <c r="CG18" s="264">
        <f t="shared" si="37"/>
        <v>-2340296</v>
      </c>
      <c r="CH18" s="264">
        <f t="shared" si="38"/>
        <v>-2340296</v>
      </c>
      <c r="CI18" s="264"/>
      <c r="CJ18" s="264">
        <f t="shared" si="39"/>
        <v>7544000</v>
      </c>
      <c r="CK18" s="264">
        <f t="shared" si="40"/>
        <v>0</v>
      </c>
      <c r="CL18" s="264">
        <f t="shared" si="41"/>
        <v>0</v>
      </c>
      <c r="CM18" s="264">
        <f t="shared" si="42"/>
        <v>0</v>
      </c>
      <c r="CN18" s="264">
        <f t="shared" si="43"/>
        <v>0</v>
      </c>
      <c r="CO18" s="264">
        <f t="shared" si="44"/>
        <v>0</v>
      </c>
      <c r="CP18" s="264">
        <f t="shared" si="45"/>
        <v>0</v>
      </c>
      <c r="CQ18" s="264">
        <f t="shared" si="46"/>
        <v>0</v>
      </c>
      <c r="CR18" s="264">
        <f t="shared" si="47"/>
        <v>0</v>
      </c>
      <c r="CS18" s="520"/>
      <c r="CT18" s="521"/>
      <c r="CU18" s="520">
        <f t="shared" si="48"/>
        <v>17</v>
      </c>
      <c r="CV18" s="522">
        <v>1</v>
      </c>
      <c r="CW18" s="522">
        <f>IF(CV18&gt;0.2,0.35,VLOOKUP(CV18,'Density Bonus'!$A$1:$B$15,2,FALSE))</f>
        <v>0.35</v>
      </c>
      <c r="CX18" s="523">
        <f t="shared" si="49"/>
        <v>22.950000000000003</v>
      </c>
      <c r="CY18" s="523">
        <f>IF(CW18&gt;0,ROUNDUP(CX18,0),ROUNDDOWN(CX18,0))</f>
        <v>23</v>
      </c>
      <c r="CZ18" s="347"/>
      <c r="DA18" s="524">
        <f t="shared" si="51"/>
        <v>23</v>
      </c>
      <c r="DB18" s="524">
        <f t="shared" si="52"/>
        <v>0</v>
      </c>
      <c r="DC18" s="525">
        <f t="shared" si="53"/>
        <v>0</v>
      </c>
      <c r="DD18" s="525">
        <f>IF(CV18&lt;0.4,VLOOKUP($AN18,'Impact Fee'!$A$1:$E$10,5,FALSE)*DB18,0)</f>
        <v>0</v>
      </c>
      <c r="DE18" s="525">
        <f t="shared" si="54"/>
        <v>0</v>
      </c>
      <c r="DF18" s="525">
        <f t="shared" si="55"/>
        <v>0</v>
      </c>
      <c r="DG18" s="525">
        <f t="shared" si="56"/>
        <v>2340296</v>
      </c>
      <c r="DH18" s="525">
        <f t="shared" si="57"/>
        <v>0</v>
      </c>
      <c r="DI18" s="525">
        <f t="shared" si="58"/>
        <v>-2340296</v>
      </c>
      <c r="DJ18" s="525">
        <f t="shared" si="59"/>
        <v>0</v>
      </c>
      <c r="DK18" s="525">
        <f t="shared" si="60"/>
        <v>0</v>
      </c>
      <c r="DL18" s="525">
        <f t="shared" si="61"/>
        <v>0</v>
      </c>
      <c r="DM18" s="525">
        <f t="shared" si="62"/>
        <v>0</v>
      </c>
      <c r="DN18" s="525">
        <f t="shared" si="63"/>
        <v>0</v>
      </c>
      <c r="DO18" s="525">
        <f>VLOOKUP($AI18,Funding!$A$1:$G$6,6,FALSE)*DN18</f>
        <v>0</v>
      </c>
      <c r="DP18" s="525">
        <f t="shared" si="64"/>
        <v>0</v>
      </c>
      <c r="DQ18" s="525">
        <f t="shared" si="65"/>
        <v>-2340296</v>
      </c>
      <c r="DR18" s="525">
        <f t="shared" si="66"/>
        <v>-2340296</v>
      </c>
      <c r="DS18" s="525"/>
      <c r="DT18" s="525">
        <f t="shared" si="67"/>
        <v>7544000</v>
      </c>
      <c r="DU18" s="525">
        <f t="shared" si="68"/>
        <v>0</v>
      </c>
      <c r="DV18" s="525">
        <f t="shared" si="69"/>
        <v>0</v>
      </c>
      <c r="DW18" s="525">
        <f t="shared" si="70"/>
        <v>0</v>
      </c>
      <c r="DX18" s="525">
        <f t="shared" si="71"/>
        <v>0</v>
      </c>
      <c r="DY18" s="525">
        <f t="shared" si="72"/>
        <v>0</v>
      </c>
      <c r="DZ18" s="525">
        <f t="shared" si="73"/>
        <v>0</v>
      </c>
      <c r="EA18" s="819"/>
      <c r="EB18" s="820"/>
      <c r="EC18" s="819">
        <f t="shared" si="74"/>
        <v>17</v>
      </c>
      <c r="ED18" s="821">
        <v>1</v>
      </c>
      <c r="EE18" s="821">
        <f>IF(ED18&gt;0.2,0.35,VLOOKUP(ED18,'Density Bonus'!$A$1:$B$15,2,FALSE))</f>
        <v>0.35</v>
      </c>
      <c r="EF18" s="822">
        <f t="shared" si="75"/>
        <v>22.950000000000003</v>
      </c>
      <c r="EG18" s="822">
        <f>IF(EE18&gt;0,ROUNDUP(EF18,0),ROUNDDOWN(EF18,0))</f>
        <v>23</v>
      </c>
      <c r="EH18" s="823"/>
      <c r="EI18" s="824">
        <f t="shared" si="77"/>
        <v>23</v>
      </c>
      <c r="EJ18" s="824">
        <f t="shared" si="78"/>
        <v>0</v>
      </c>
      <c r="EK18" s="825">
        <f t="shared" si="79"/>
        <v>0</v>
      </c>
      <c r="EL18" s="825">
        <f>IF(ED18&lt;0.4,VLOOKUP($AN18,'Impact Fee'!$A$1:$E$10,5,FALSE)*EJ18,0)</f>
        <v>0</v>
      </c>
      <c r="EM18" s="825">
        <f t="shared" si="80"/>
        <v>0</v>
      </c>
      <c r="EN18" s="825">
        <f t="shared" si="81"/>
        <v>0</v>
      </c>
      <c r="EO18" s="825">
        <f t="shared" si="82"/>
        <v>2340296</v>
      </c>
      <c r="EP18" s="825">
        <f t="shared" si="83"/>
        <v>0</v>
      </c>
      <c r="EQ18" s="825">
        <f t="shared" si="84"/>
        <v>-2340296</v>
      </c>
      <c r="ER18" s="825">
        <f t="shared" si="85"/>
        <v>0</v>
      </c>
      <c r="ES18" s="825">
        <f t="shared" si="86"/>
        <v>0</v>
      </c>
      <c r="ET18" s="825">
        <f t="shared" si="87"/>
        <v>0</v>
      </c>
      <c r="EU18" s="825">
        <f t="shared" si="88"/>
        <v>0</v>
      </c>
      <c r="EV18" s="825">
        <f t="shared" si="89"/>
        <v>0</v>
      </c>
      <c r="EW18" s="825">
        <f>VLOOKUP($AI18,Funding!$A$1:$G$6,6,FALSE)*EV18</f>
        <v>0</v>
      </c>
      <c r="EX18" s="825">
        <f t="shared" si="90"/>
        <v>0</v>
      </c>
      <c r="EY18" s="825">
        <f t="shared" si="91"/>
        <v>-2340296</v>
      </c>
      <c r="EZ18" s="825">
        <f t="shared" si="92"/>
        <v>-2340296</v>
      </c>
      <c r="FA18" s="825"/>
      <c r="FB18" s="825">
        <f t="shared" si="93"/>
        <v>7544000</v>
      </c>
      <c r="FC18" s="825">
        <f t="shared" si="94"/>
        <v>0</v>
      </c>
      <c r="FD18" s="825">
        <f t="shared" si="95"/>
        <v>0</v>
      </c>
      <c r="FE18" s="825">
        <f t="shared" si="96"/>
        <v>0</v>
      </c>
      <c r="FF18" s="825">
        <f t="shared" si="97"/>
        <v>0</v>
      </c>
      <c r="FG18" s="825">
        <f t="shared" si="98"/>
        <v>0</v>
      </c>
      <c r="FH18" s="825">
        <f t="shared" si="99"/>
        <v>0</v>
      </c>
      <c r="FI18" s="545"/>
      <c r="FJ18" s="546"/>
      <c r="FK18" s="546"/>
      <c r="FL18" s="545">
        <f t="shared" si="100"/>
        <v>17</v>
      </c>
      <c r="FM18" s="547">
        <v>0.15</v>
      </c>
      <c r="FN18" s="547">
        <f>IF(FM18&gt;0.2,0.35,VLOOKUP(FM18,'Density Bonus'!$A$1:$B$15,2,FALSE))</f>
        <v>0.27500000000000002</v>
      </c>
      <c r="FO18" s="548">
        <f t="shared" si="101"/>
        <v>21.674999999999997</v>
      </c>
      <c r="FP18" s="548">
        <f>IF(FN18&gt;0,ROUNDUP(FO18,0),ROUNDDOWN(FO18,0))</f>
        <v>22</v>
      </c>
      <c r="FQ18" s="347"/>
      <c r="FR18" s="549">
        <f t="shared" si="103"/>
        <v>3</v>
      </c>
      <c r="FS18" s="549">
        <f t="shared" si="104"/>
        <v>19</v>
      </c>
      <c r="FT18" s="550">
        <f t="shared" si="105"/>
        <v>0</v>
      </c>
      <c r="FU18" s="550">
        <f>IF(FM18&lt;0.15,(VLOOKUP($AN18,'Impact Fee'!$A$1:$E$10,5,FALSE)*FS18),0)</f>
        <v>0</v>
      </c>
      <c r="FV18" s="550">
        <f t="shared" si="106"/>
        <v>0</v>
      </c>
      <c r="FW18" s="550">
        <f t="shared" si="107"/>
        <v>2550000</v>
      </c>
      <c r="FX18" s="550">
        <f t="shared" si="108"/>
        <v>673699.2</v>
      </c>
      <c r="FY18" s="550">
        <f t="shared" si="109"/>
        <v>0</v>
      </c>
      <c r="FZ18" s="550">
        <f t="shared" si="110"/>
        <v>1876300.8</v>
      </c>
      <c r="GA18" s="550">
        <f>VLOOKUP($AI18,Funding!$A$1:$G$6,3,FALSE)*FZ18</f>
        <v>136031.80799999999</v>
      </c>
      <c r="GB18" s="550">
        <f t="shared" si="111"/>
        <v>136031.80799999999</v>
      </c>
      <c r="GC18" s="550">
        <f t="shared" si="112"/>
        <v>0</v>
      </c>
      <c r="GD18" s="550">
        <f t="shared" si="113"/>
        <v>136031.80799999999</v>
      </c>
      <c r="GE18" s="550"/>
      <c r="GF18" s="550">
        <f t="shared" si="114"/>
        <v>7216000</v>
      </c>
      <c r="GG18" s="550">
        <f t="shared" si="115"/>
        <v>0</v>
      </c>
      <c r="GH18" s="550">
        <f t="shared" si="116"/>
        <v>0</v>
      </c>
      <c r="GI18" s="550">
        <f t="shared" si="117"/>
        <v>0</v>
      </c>
      <c r="GJ18" s="550">
        <f t="shared" si="118"/>
        <v>0</v>
      </c>
      <c r="GK18" s="550">
        <f t="shared" si="119"/>
        <v>0</v>
      </c>
      <c r="GL18" s="550">
        <f t="shared" si="120"/>
        <v>0</v>
      </c>
      <c r="GM18" s="550">
        <f t="shared" si="121"/>
        <v>0</v>
      </c>
      <c r="GN18" s="550">
        <f t="shared" si="122"/>
        <v>0</v>
      </c>
      <c r="GO18" s="199"/>
      <c r="GP18" s="275"/>
      <c r="GQ18" s="199">
        <f t="shared" si="123"/>
        <v>17</v>
      </c>
      <c r="GR18" s="34">
        <v>1</v>
      </c>
      <c r="GS18" s="34">
        <f>IF(GR18&gt;0.2,0.35,VLOOKUP(GR18,'Density Bonus'!$A$1:$B$15,2,FALSE))</f>
        <v>0.35</v>
      </c>
      <c r="GT18" s="235">
        <f t="shared" si="124"/>
        <v>22.950000000000003</v>
      </c>
      <c r="GU18" s="235">
        <f>IF(GS18&gt;0,ROUNDUP(GT18,0),ROUNDDOWN(GT18,0))</f>
        <v>23</v>
      </c>
      <c r="GV18" s="347"/>
      <c r="GW18" s="31">
        <f t="shared" si="126"/>
        <v>23</v>
      </c>
      <c r="GX18" s="31">
        <f t="shared" si="127"/>
        <v>0</v>
      </c>
      <c r="GY18" s="196" t="str">
        <f t="shared" si="128"/>
        <v/>
      </c>
      <c r="GZ18" s="238">
        <f t="shared" si="129"/>
        <v>0</v>
      </c>
      <c r="HA18" s="238">
        <f t="shared" si="130"/>
        <v>0</v>
      </c>
      <c r="HB18" s="238">
        <f t="shared" si="131"/>
        <v>0</v>
      </c>
      <c r="HC18" s="238">
        <f t="shared" si="224"/>
        <v>0</v>
      </c>
      <c r="HD18" s="238">
        <f>VLOOKUP($AI18,Funding!$A$1:$G$6,7,FALSE)*HC18</f>
        <v>0</v>
      </c>
      <c r="HE18" s="238">
        <f t="shared" si="225"/>
        <v>0</v>
      </c>
      <c r="HF18" s="238">
        <f t="shared" si="226"/>
        <v>-2340296</v>
      </c>
      <c r="HG18" s="238">
        <f t="shared" si="132"/>
        <v>-2340296</v>
      </c>
      <c r="HH18" s="238"/>
      <c r="HI18" s="238">
        <f t="shared" si="133"/>
        <v>7544000</v>
      </c>
      <c r="HJ18" s="238">
        <f t="shared" si="134"/>
        <v>0</v>
      </c>
      <c r="HK18" s="238">
        <f t="shared" si="135"/>
        <v>0</v>
      </c>
      <c r="HL18" s="238">
        <f t="shared" si="136"/>
        <v>0</v>
      </c>
      <c r="HM18" s="238">
        <f t="shared" si="137"/>
        <v>0</v>
      </c>
      <c r="HN18" s="238">
        <f t="shared" si="138"/>
        <v>0</v>
      </c>
      <c r="HO18" s="238">
        <f t="shared" si="139"/>
        <v>0</v>
      </c>
      <c r="HP18" s="397"/>
      <c r="HQ18" s="424"/>
      <c r="HR18" s="426">
        <f t="shared" si="140"/>
        <v>2550000</v>
      </c>
      <c r="HS18" s="425">
        <f t="shared" si="141"/>
        <v>0</v>
      </c>
      <c r="HT18" s="425">
        <f t="shared" si="142"/>
        <v>17</v>
      </c>
      <c r="HU18" s="429">
        <f t="shared" si="228"/>
        <v>0</v>
      </c>
      <c r="HV18" s="429">
        <f t="shared" si="227"/>
        <v>0</v>
      </c>
      <c r="HW18" s="429">
        <f t="shared" si="227"/>
        <v>0</v>
      </c>
      <c r="HX18" s="429">
        <f t="shared" si="227"/>
        <v>0</v>
      </c>
      <c r="HY18" s="429">
        <f t="shared" si="227"/>
        <v>0</v>
      </c>
      <c r="HZ18" s="426">
        <f t="shared" si="144"/>
        <v>328000</v>
      </c>
      <c r="IA18" s="426"/>
      <c r="IB18" s="426"/>
      <c r="IC18" s="425"/>
      <c r="ID18" s="425"/>
      <c r="IE18" s="425"/>
      <c r="IF18" s="427">
        <f>((HR18+(HT18*HZ18)+(HU18*IA18)+(HV18*IB18)+(HW18*IC18)+(HX18*ID18))*0.01*0.29)</f>
        <v>23565.399999999998</v>
      </c>
      <c r="IG18" s="428">
        <f t="shared" si="145"/>
        <v>13513.538000000004</v>
      </c>
      <c r="IH18" s="428">
        <f t="shared" si="146"/>
        <v>0</v>
      </c>
      <c r="II18" s="428">
        <f t="shared" si="147"/>
        <v>7186.3564500000002</v>
      </c>
      <c r="IJ18" s="428">
        <f t="shared" si="148"/>
        <v>0</v>
      </c>
      <c r="IK18" s="428">
        <f t="shared" si="149"/>
        <v>44265.294450000001</v>
      </c>
      <c r="IL18" s="429">
        <f t="shared" si="150"/>
        <v>0</v>
      </c>
      <c r="IM18" s="427">
        <f>Sites!AG18</f>
        <v>2550000</v>
      </c>
      <c r="IN18" s="428">
        <f t="shared" si="151"/>
        <v>38250</v>
      </c>
      <c r="IO18" s="429">
        <f t="shared" si="152"/>
        <v>27.88</v>
      </c>
      <c r="IP18" s="426">
        <f t="shared" si="153"/>
        <v>1546857.682213912</v>
      </c>
      <c r="IQ18" s="426">
        <f t="shared" si="154"/>
        <v>849609.86048818438</v>
      </c>
      <c r="IR18" s="430">
        <v>2024</v>
      </c>
      <c r="IS18" s="431"/>
      <c r="IT18" s="431"/>
      <c r="IU18" s="431"/>
      <c r="IV18" s="428"/>
      <c r="IW18" s="428"/>
      <c r="IX18" s="428"/>
      <c r="IY18" s="428"/>
      <c r="IZ18" s="428">
        <f t="shared" si="155"/>
        <v>50846.909308990209</v>
      </c>
      <c r="JA18" s="428">
        <f t="shared" si="155"/>
        <v>51863.847495170019</v>
      </c>
      <c r="JB18" s="428">
        <f t="shared" si="155"/>
        <v>52901.124445073423</v>
      </c>
      <c r="JC18" s="428">
        <f t="shared" si="155"/>
        <v>53959.146933974895</v>
      </c>
      <c r="JD18" s="428">
        <f t="shared" si="155"/>
        <v>55038.32987265438</v>
      </c>
      <c r="JE18" s="428">
        <f t="shared" si="155"/>
        <v>56139.096470107477</v>
      </c>
      <c r="JF18" s="428">
        <f t="shared" si="155"/>
        <v>57261.878399509624</v>
      </c>
      <c r="JG18" s="428">
        <f t="shared" si="155"/>
        <v>58407.11596749982</v>
      </c>
      <c r="JH18" s="428">
        <f t="shared" si="155"/>
        <v>59575.258286849799</v>
      </c>
      <c r="JI18" s="428">
        <f t="shared" si="155"/>
        <v>60766.763452586805</v>
      </c>
      <c r="JJ18" s="428">
        <f t="shared" si="156"/>
        <v>61982.098721638547</v>
      </c>
      <c r="JK18" s="428">
        <f t="shared" si="156"/>
        <v>63221.740696071312</v>
      </c>
      <c r="JL18" s="428">
        <f t="shared" si="156"/>
        <v>64486.17550999274</v>
      </c>
      <c r="JM18" s="428">
        <f t="shared" si="156"/>
        <v>65775.899020192592</v>
      </c>
      <c r="JN18" s="428">
        <f t="shared" si="156"/>
        <v>67091.417000596441</v>
      </c>
      <c r="JO18" s="428">
        <f t="shared" si="156"/>
        <v>68433.245340608381</v>
      </c>
      <c r="JP18" s="428">
        <f t="shared" si="156"/>
        <v>69801.910247420528</v>
      </c>
      <c r="JQ18" s="428">
        <f t="shared" si="156"/>
        <v>71197.948452368946</v>
      </c>
      <c r="JR18" s="428">
        <f t="shared" si="156"/>
        <v>72621.907421416327</v>
      </c>
      <c r="JS18" s="428">
        <f t="shared" si="156"/>
        <v>74074.345569844663</v>
      </c>
      <c r="JT18" s="428">
        <f t="shared" si="156"/>
        <v>75555.832481241538</v>
      </c>
      <c r="JU18" s="428">
        <f t="shared" si="156"/>
        <v>77066.949130866386</v>
      </c>
      <c r="JV18" s="428">
        <f t="shared" si="156"/>
        <v>78608.288113483708</v>
      </c>
      <c r="JW18" s="428">
        <f t="shared" si="156"/>
        <v>80180.453875753388</v>
      </c>
      <c r="JX18" s="432"/>
      <c r="JY18" s="435">
        <f t="shared" si="157"/>
        <v>23</v>
      </c>
      <c r="JZ18" s="435">
        <f t="shared" si="158"/>
        <v>0</v>
      </c>
      <c r="KA18" s="435">
        <f t="shared" si="159"/>
        <v>0</v>
      </c>
      <c r="KB18" s="435">
        <f t="shared" si="160"/>
        <v>0</v>
      </c>
      <c r="KC18" s="435">
        <f t="shared" si="161"/>
        <v>0</v>
      </c>
      <c r="KD18" s="435">
        <f t="shared" si="162"/>
        <v>0</v>
      </c>
      <c r="KE18" s="435">
        <f t="shared" si="163"/>
        <v>0</v>
      </c>
      <c r="KF18" s="432">
        <f t="shared" si="164"/>
        <v>328000</v>
      </c>
      <c r="KG18" s="445">
        <f t="shared" si="165"/>
        <v>0</v>
      </c>
      <c r="KH18" s="445">
        <f t="shared" si="166"/>
        <v>0</v>
      </c>
      <c r="KI18" s="445">
        <f t="shared" si="167"/>
        <v>0</v>
      </c>
      <c r="KJ18" s="445">
        <f t="shared" si="168"/>
        <v>0</v>
      </c>
      <c r="KK18" s="445">
        <f t="shared" si="169"/>
        <v>0</v>
      </c>
      <c r="KL18" s="434">
        <v>0</v>
      </c>
      <c r="KM18" s="432">
        <f t="shared" si="170"/>
        <v>0</v>
      </c>
      <c r="KN18" s="432">
        <f t="shared" si="171"/>
        <v>0</v>
      </c>
      <c r="KO18" s="432">
        <f t="shared" si="172"/>
        <v>0</v>
      </c>
      <c r="KP18" s="432">
        <f t="shared" si="173"/>
        <v>0</v>
      </c>
      <c r="KQ18" s="432">
        <f t="shared" si="174"/>
        <v>0</v>
      </c>
      <c r="KR18" s="435">
        <f t="shared" si="175"/>
        <v>0</v>
      </c>
      <c r="KS18" s="434">
        <f t="shared" si="176"/>
        <v>0</v>
      </c>
      <c r="KT18" s="432">
        <f t="shared" si="177"/>
        <v>0</v>
      </c>
      <c r="KU18" s="435">
        <f t="shared" si="178"/>
        <v>37.72</v>
      </c>
      <c r="KV18" s="433">
        <f t="shared" si="179"/>
        <v>0</v>
      </c>
      <c r="KW18" s="433">
        <f t="shared" si="180"/>
        <v>0</v>
      </c>
      <c r="KX18" s="436">
        <f t="shared" si="181"/>
        <v>2024</v>
      </c>
      <c r="KY18" s="411"/>
      <c r="KZ18" s="411"/>
      <c r="LA18" s="411"/>
      <c r="LB18" s="411"/>
      <c r="LC18" s="411"/>
      <c r="LD18" s="411"/>
      <c r="LE18" s="411"/>
      <c r="LF18" s="446">
        <f t="shared" si="182"/>
        <v>0</v>
      </c>
      <c r="LG18" s="446">
        <f t="shared" si="182"/>
        <v>0</v>
      </c>
      <c r="LH18" s="446">
        <f t="shared" si="182"/>
        <v>0</v>
      </c>
      <c r="LI18" s="446">
        <f t="shared" si="182"/>
        <v>0</v>
      </c>
      <c r="LJ18" s="446">
        <f t="shared" si="182"/>
        <v>0</v>
      </c>
      <c r="LK18" s="446">
        <f t="shared" si="182"/>
        <v>0</v>
      </c>
      <c r="LL18" s="446">
        <f t="shared" si="182"/>
        <v>0</v>
      </c>
      <c r="LM18" s="446">
        <f t="shared" si="182"/>
        <v>0</v>
      </c>
      <c r="LN18" s="446">
        <f t="shared" si="182"/>
        <v>0</v>
      </c>
      <c r="LO18" s="446">
        <f t="shared" si="182"/>
        <v>0</v>
      </c>
      <c r="LP18" s="446">
        <f t="shared" si="183"/>
        <v>0</v>
      </c>
      <c r="LQ18" s="446">
        <f t="shared" si="183"/>
        <v>0</v>
      </c>
      <c r="LR18" s="446">
        <f t="shared" si="183"/>
        <v>0</v>
      </c>
      <c r="LS18" s="446">
        <f t="shared" si="183"/>
        <v>0</v>
      </c>
      <c r="LT18" s="446">
        <f t="shared" si="183"/>
        <v>0</v>
      </c>
      <c r="LU18" s="446">
        <f t="shared" si="183"/>
        <v>0</v>
      </c>
      <c r="LV18" s="446">
        <f t="shared" si="183"/>
        <v>0</v>
      </c>
      <c r="LW18" s="446">
        <f t="shared" si="183"/>
        <v>0</v>
      </c>
      <c r="LX18" s="446">
        <f t="shared" si="183"/>
        <v>0</v>
      </c>
      <c r="LY18" s="446">
        <f t="shared" si="183"/>
        <v>0</v>
      </c>
      <c r="LZ18" s="446">
        <f t="shared" si="183"/>
        <v>0</v>
      </c>
      <c r="MA18" s="446">
        <f t="shared" si="183"/>
        <v>0</v>
      </c>
      <c r="MB18" s="446">
        <f t="shared" si="183"/>
        <v>0</v>
      </c>
      <c r="MC18" s="446">
        <f t="shared" si="183"/>
        <v>0</v>
      </c>
      <c r="MD18" s="496"/>
      <c r="ME18" s="497">
        <f t="shared" si="184"/>
        <v>0</v>
      </c>
      <c r="MF18" s="497">
        <f t="shared" si="185"/>
        <v>0</v>
      </c>
      <c r="MG18" s="497">
        <f t="shared" si="186"/>
        <v>0</v>
      </c>
      <c r="MH18" s="497">
        <f t="shared" si="187"/>
        <v>0</v>
      </c>
      <c r="MI18" s="497">
        <f t="shared" si="188"/>
        <v>0</v>
      </c>
      <c r="MJ18" s="498">
        <f t="shared" si="189"/>
        <v>0</v>
      </c>
      <c r="MK18" s="498">
        <f t="shared" si="190"/>
        <v>0</v>
      </c>
      <c r="ML18" s="498">
        <f t="shared" si="191"/>
        <v>0</v>
      </c>
      <c r="MM18" s="498">
        <f t="shared" si="192"/>
        <v>0</v>
      </c>
      <c r="MN18" s="498">
        <f t="shared" si="193"/>
        <v>0</v>
      </c>
      <c r="MO18" s="454"/>
      <c r="MP18" s="448">
        <f t="shared" si="194"/>
        <v>23</v>
      </c>
      <c r="MQ18" s="448">
        <f t="shared" si="195"/>
        <v>0</v>
      </c>
      <c r="MR18" s="448">
        <f t="shared" si="196"/>
        <v>0</v>
      </c>
      <c r="MS18" s="448">
        <f t="shared" si="197"/>
        <v>0</v>
      </c>
      <c r="MT18" s="448">
        <f t="shared" si="198"/>
        <v>0</v>
      </c>
      <c r="MU18" s="448">
        <f t="shared" si="199"/>
        <v>0</v>
      </c>
      <c r="MV18" s="448">
        <f t="shared" si="200"/>
        <v>0</v>
      </c>
      <c r="MW18" s="450">
        <f t="shared" si="201"/>
        <v>328000</v>
      </c>
      <c r="MX18" s="450">
        <f t="shared" si="202"/>
        <v>0</v>
      </c>
      <c r="MY18" s="450">
        <f t="shared" si="203"/>
        <v>0</v>
      </c>
      <c r="MZ18" s="450">
        <f t="shared" si="204"/>
        <v>0</v>
      </c>
      <c r="NA18" s="450">
        <f t="shared" si="205"/>
        <v>0</v>
      </c>
      <c r="NB18" s="450">
        <f t="shared" si="206"/>
        <v>0</v>
      </c>
      <c r="NC18" s="451">
        <f t="shared" si="207"/>
        <v>0</v>
      </c>
      <c r="ND18" s="449">
        <f t="shared" si="208"/>
        <v>0</v>
      </c>
      <c r="NE18" s="449">
        <f t="shared" si="209"/>
        <v>0</v>
      </c>
      <c r="NF18" s="449">
        <f t="shared" si="210"/>
        <v>0</v>
      </c>
      <c r="NG18" s="449">
        <f t="shared" si="211"/>
        <v>0</v>
      </c>
      <c r="NH18" s="449">
        <f t="shared" si="212"/>
        <v>0</v>
      </c>
      <c r="NI18" s="448">
        <f t="shared" si="213"/>
        <v>0</v>
      </c>
      <c r="NJ18" s="451">
        <f t="shared" si="214"/>
        <v>0</v>
      </c>
      <c r="NK18" s="449">
        <f t="shared" si="215"/>
        <v>0</v>
      </c>
      <c r="NL18" s="448">
        <f t="shared" si="216"/>
        <v>37.72</v>
      </c>
      <c r="NM18" s="452">
        <f t="shared" si="217"/>
        <v>0</v>
      </c>
      <c r="NN18" s="452">
        <f t="shared" si="218"/>
        <v>0</v>
      </c>
      <c r="NO18" s="453">
        <f t="shared" si="219"/>
        <v>2024</v>
      </c>
      <c r="NP18" s="423"/>
      <c r="NQ18" s="423"/>
      <c r="NR18" s="423"/>
      <c r="NS18" s="423"/>
      <c r="NT18" s="423"/>
      <c r="NU18" s="423"/>
      <c r="NV18" s="423"/>
      <c r="NW18" s="454">
        <f t="shared" si="220"/>
        <v>0</v>
      </c>
      <c r="NX18" s="454">
        <f t="shared" si="220"/>
        <v>0</v>
      </c>
      <c r="NY18" s="454">
        <f t="shared" si="220"/>
        <v>0</v>
      </c>
      <c r="NZ18" s="454">
        <f t="shared" si="220"/>
        <v>0</v>
      </c>
      <c r="OA18" s="454">
        <f t="shared" si="220"/>
        <v>0</v>
      </c>
      <c r="OB18" s="454">
        <f t="shared" si="220"/>
        <v>0</v>
      </c>
      <c r="OC18" s="454">
        <f t="shared" si="220"/>
        <v>0</v>
      </c>
      <c r="OD18" s="454">
        <f t="shared" si="220"/>
        <v>0</v>
      </c>
      <c r="OE18" s="454">
        <f t="shared" si="220"/>
        <v>0</v>
      </c>
      <c r="OF18" s="454">
        <f t="shared" si="220"/>
        <v>0</v>
      </c>
      <c r="OG18" s="454">
        <f t="shared" si="221"/>
        <v>0</v>
      </c>
      <c r="OH18" s="454">
        <f t="shared" si="221"/>
        <v>0</v>
      </c>
      <c r="OI18" s="454">
        <f t="shared" si="221"/>
        <v>0</v>
      </c>
      <c r="OJ18" s="454">
        <f t="shared" si="221"/>
        <v>0</v>
      </c>
      <c r="OK18" s="454">
        <f t="shared" si="221"/>
        <v>0</v>
      </c>
      <c r="OL18" s="454">
        <f t="shared" si="221"/>
        <v>0</v>
      </c>
      <c r="OM18" s="454">
        <f t="shared" si="221"/>
        <v>0</v>
      </c>
      <c r="ON18" s="454">
        <f t="shared" si="221"/>
        <v>0</v>
      </c>
      <c r="OO18" s="454">
        <f t="shared" si="221"/>
        <v>0</v>
      </c>
      <c r="OP18" s="454">
        <f t="shared" si="221"/>
        <v>0</v>
      </c>
      <c r="OQ18" s="454">
        <f t="shared" si="221"/>
        <v>0</v>
      </c>
      <c r="OR18" s="454">
        <f t="shared" si="221"/>
        <v>0</v>
      </c>
      <c r="OS18" s="454">
        <f t="shared" si="221"/>
        <v>0</v>
      </c>
      <c r="OT18" s="454">
        <f t="shared" si="221"/>
        <v>0</v>
      </c>
    </row>
    <row r="19" spans="1:410" customFormat="1">
      <c r="A19" s="279"/>
      <c r="B19" s="281" t="s">
        <v>419</v>
      </c>
      <c r="C19" s="437"/>
      <c r="D19" s="437"/>
      <c r="E19" s="437"/>
      <c r="F19" s="437"/>
      <c r="G19" s="437"/>
      <c r="H19" s="437"/>
      <c r="I19" s="282">
        <f>SUBTOTAL(9,I5:I18)</f>
        <v>600604</v>
      </c>
      <c r="J19" s="282"/>
      <c r="K19" s="282"/>
      <c r="L19" s="282"/>
      <c r="M19" s="282"/>
      <c r="N19" s="282"/>
      <c r="O19" s="282">
        <f>SUBTOTAL(9,O5:O18)</f>
        <v>0</v>
      </c>
      <c r="P19" s="283"/>
      <c r="Q19" s="283"/>
      <c r="R19" s="283">
        <f>SUM(R5:R18)</f>
        <v>754.29950662069882</v>
      </c>
      <c r="S19" s="456"/>
      <c r="T19" s="283">
        <f>SUM(T5:T18)</f>
        <v>606671.80000000005</v>
      </c>
      <c r="U19" s="283"/>
      <c r="V19" s="284"/>
      <c r="W19" s="285"/>
      <c r="X19" s="284"/>
      <c r="Y19" s="284"/>
      <c r="Z19" s="284"/>
      <c r="AA19" s="286"/>
      <c r="AB19" s="286"/>
      <c r="AC19" s="286"/>
      <c r="AD19" s="286"/>
      <c r="AE19" s="287"/>
      <c r="AF19" s="281"/>
      <c r="AG19" s="287">
        <f>SUBTOTAL(9,AG5:AG18)</f>
        <v>42076460</v>
      </c>
      <c r="AH19" s="287">
        <f>SUBTOTAL(9,AH5:AH18)</f>
        <v>42076460</v>
      </c>
      <c r="AI19" s="287"/>
      <c r="AJ19" s="288"/>
      <c r="AK19" s="288"/>
      <c r="AL19" s="289">
        <f>SUBTOTAL(9,AL5:AL18)</f>
        <v>754.29950662069882</v>
      </c>
      <c r="AM19" s="289">
        <f>SUBTOTAL(9,AM5:AM18)</f>
        <v>672.80698136817364</v>
      </c>
      <c r="AN19" s="288"/>
      <c r="AO19" s="287">
        <f>SUBTOTAL(9,AO5:AO18)</f>
        <v>14327875</v>
      </c>
      <c r="AP19" s="287">
        <f>SUBTOTAL(9,AP5:AP18)</f>
        <v>39711335</v>
      </c>
      <c r="AQ19" s="352"/>
      <c r="AR19" s="290"/>
      <c r="AS19" s="280">
        <f>SUBTOTAL(9,AS5:AS18)</f>
        <v>627</v>
      </c>
      <c r="AT19" s="280">
        <f>SUBTOTAL(9,AT5:AT18)</f>
        <v>0</v>
      </c>
      <c r="AU19" s="280">
        <f>SUBTOTAL(9,AU5:AU18)</f>
        <v>627</v>
      </c>
      <c r="AV19" s="287"/>
      <c r="AW19" s="287"/>
      <c r="AX19" s="293"/>
      <c r="AY19" s="293"/>
      <c r="AZ19" s="287">
        <f>SUBTOTAL(9,AZ5:AZ18)</f>
        <v>10108000</v>
      </c>
      <c r="BA19" s="287">
        <f>SUBTOTAL(9,BA5:BA18)</f>
        <v>24435875</v>
      </c>
      <c r="BB19" s="287">
        <f>SUBTOTAL(9,BB5:BB18)</f>
        <v>49819335</v>
      </c>
      <c r="BC19" s="280">
        <f>SUBTOTAL(9,BC5:BC18)</f>
        <v>195.48699999999994</v>
      </c>
      <c r="BD19" s="280">
        <f>SUBTOTAL(9,BD5:BD18)</f>
        <v>398.55468000000002</v>
      </c>
      <c r="BE19" s="293"/>
      <c r="BF19" s="287">
        <f t="shared" ref="BF19:BM19" si="229">SUBTOTAL(9,BF5:BF18)</f>
        <v>205656000</v>
      </c>
      <c r="BG19" s="287">
        <f t="shared" si="229"/>
        <v>0</v>
      </c>
      <c r="BH19" s="287">
        <f t="shared" si="229"/>
        <v>-3542400</v>
      </c>
      <c r="BI19" s="287">
        <f t="shared" si="229"/>
        <v>0</v>
      </c>
      <c r="BJ19" s="287">
        <f t="shared" si="229"/>
        <v>-3542400</v>
      </c>
      <c r="BK19" s="287">
        <f t="shared" si="229"/>
        <v>-3542400</v>
      </c>
      <c r="BL19" s="287">
        <f t="shared" si="229"/>
        <v>0</v>
      </c>
      <c r="BM19" s="287">
        <f t="shared" si="229"/>
        <v>-3542400</v>
      </c>
      <c r="BN19" s="289"/>
      <c r="BO19" s="292">
        <f>SUBTOTAL(9,BO5:BO18)</f>
        <v>0</v>
      </c>
      <c r="BP19" s="289">
        <f>SUM(BP5:BP18)</f>
        <v>627</v>
      </c>
      <c r="BQ19" s="291"/>
      <c r="BR19" s="291"/>
      <c r="BS19" s="292">
        <f>SUBTOTAL(9,BS5:BS18)</f>
        <v>756.55444444444436</v>
      </c>
      <c r="BT19" s="292">
        <f>SUBTOTAL(9,BT5:BT18)</f>
        <v>746</v>
      </c>
      <c r="BU19" s="350"/>
      <c r="BV19" s="293">
        <f t="shared" ref="BV19:CH19" si="230">SUBTOTAL(9,BV5:BV18)</f>
        <v>746</v>
      </c>
      <c r="BW19" s="293">
        <f t="shared" si="230"/>
        <v>0</v>
      </c>
      <c r="BX19" s="287">
        <f t="shared" si="230"/>
        <v>0</v>
      </c>
      <c r="BY19" s="287">
        <f t="shared" si="230"/>
        <v>0</v>
      </c>
      <c r="BZ19" s="287">
        <f t="shared" si="230"/>
        <v>0</v>
      </c>
      <c r="CA19" s="287">
        <f t="shared" si="230"/>
        <v>0</v>
      </c>
      <c r="CB19" s="287">
        <f t="shared" si="230"/>
        <v>0</v>
      </c>
      <c r="CC19" s="287">
        <f t="shared" si="230"/>
        <v>0</v>
      </c>
      <c r="CD19" s="287">
        <f t="shared" si="230"/>
        <v>0</v>
      </c>
      <c r="CE19" s="287">
        <f t="shared" si="230"/>
        <v>0</v>
      </c>
      <c r="CF19" s="287">
        <f t="shared" si="230"/>
        <v>0</v>
      </c>
      <c r="CG19" s="287">
        <f t="shared" si="230"/>
        <v>-75906992</v>
      </c>
      <c r="CH19" s="287">
        <f t="shared" si="230"/>
        <v>-75906992</v>
      </c>
      <c r="CI19" s="287"/>
      <c r="CJ19" s="287">
        <f t="shared" ref="CJ19:CR19" si="231">SUBTOTAL(9,CJ5:CJ18)</f>
        <v>244688000</v>
      </c>
      <c r="CK19" s="287">
        <f t="shared" si="231"/>
        <v>0</v>
      </c>
      <c r="CL19" s="287">
        <f t="shared" si="231"/>
        <v>-6379600</v>
      </c>
      <c r="CM19" s="287">
        <f t="shared" si="231"/>
        <v>0</v>
      </c>
      <c r="CN19" s="287">
        <f t="shared" si="231"/>
        <v>0</v>
      </c>
      <c r="CO19" s="287">
        <f t="shared" si="231"/>
        <v>-6379600</v>
      </c>
      <c r="CP19" s="287">
        <f t="shared" si="231"/>
        <v>0</v>
      </c>
      <c r="CQ19" s="287">
        <f t="shared" si="231"/>
        <v>0</v>
      </c>
      <c r="CR19" s="287">
        <f t="shared" si="231"/>
        <v>0</v>
      </c>
      <c r="CS19" s="289"/>
      <c r="CT19" s="290"/>
      <c r="CU19" s="289">
        <f>SUBTOTAL(9,CU5:CU18)</f>
        <v>627</v>
      </c>
      <c r="CV19" s="291"/>
      <c r="CW19" s="291"/>
      <c r="CX19" s="292">
        <f>SUBTOTAL(9,CX5:CX18)</f>
        <v>751.00444444444452</v>
      </c>
      <c r="CY19" s="292">
        <f>SUBTOTAL(9,CY5:CY18)</f>
        <v>743</v>
      </c>
      <c r="CZ19" s="348"/>
      <c r="DA19" s="293">
        <f t="shared" ref="DA19:DH19" si="232">SUBTOTAL(9,DA5:DA18)</f>
        <v>621</v>
      </c>
      <c r="DB19" s="293">
        <f t="shared" si="232"/>
        <v>122</v>
      </c>
      <c r="DC19" s="287">
        <f t="shared" si="232"/>
        <v>0</v>
      </c>
      <c r="DD19" s="287">
        <f t="shared" si="232"/>
        <v>1777500</v>
      </c>
      <c r="DE19" s="287">
        <f t="shared" si="232"/>
        <v>1777500</v>
      </c>
      <c r="DF19" s="287">
        <f t="shared" si="232"/>
        <v>9885955</v>
      </c>
      <c r="DG19" s="287">
        <f t="shared" si="232"/>
        <v>65889908.79999999</v>
      </c>
      <c r="DH19" s="287">
        <f t="shared" si="232"/>
        <v>3663072</v>
      </c>
      <c r="DI19" s="287"/>
      <c r="DJ19" s="287">
        <f t="shared" ref="DJ19:DR19" si="233">SUBTOTAL(9,DJ5:DJ18)</f>
        <v>2213939.8000000007</v>
      </c>
      <c r="DK19" s="287">
        <f t="shared" si="233"/>
        <v>2731554.4000000004</v>
      </c>
      <c r="DL19" s="287">
        <f t="shared" si="233"/>
        <v>-6379600</v>
      </c>
      <c r="DM19" s="287">
        <f t="shared" si="233"/>
        <v>0</v>
      </c>
      <c r="DN19" s="287">
        <f t="shared" si="233"/>
        <v>2731554.4000000004</v>
      </c>
      <c r="DO19" s="287">
        <f t="shared" si="233"/>
        <v>2731554.4000000004</v>
      </c>
      <c r="DP19" s="287">
        <f t="shared" si="233"/>
        <v>4945494.2000000011</v>
      </c>
      <c r="DQ19" s="287">
        <f t="shared" si="233"/>
        <v>-67329048</v>
      </c>
      <c r="DR19" s="287">
        <f t="shared" si="233"/>
        <v>-62383553.79999999</v>
      </c>
      <c r="DS19" s="287"/>
      <c r="DT19" s="287">
        <f t="shared" ref="DT19:DZ19" si="234">SUBTOTAL(9,DT5:DT18)</f>
        <v>243704000</v>
      </c>
      <c r="DU19" s="287">
        <f t="shared" si="234"/>
        <v>0</v>
      </c>
      <c r="DV19" s="287">
        <f t="shared" si="234"/>
        <v>-6379600</v>
      </c>
      <c r="DW19" s="287">
        <f t="shared" si="234"/>
        <v>0</v>
      </c>
      <c r="DX19" s="287">
        <f t="shared" si="234"/>
        <v>0</v>
      </c>
      <c r="DY19" s="287">
        <f t="shared" si="234"/>
        <v>0</v>
      </c>
      <c r="DZ19" s="287">
        <f t="shared" si="234"/>
        <v>0</v>
      </c>
      <c r="EA19" s="289"/>
      <c r="EB19" s="290"/>
      <c r="EC19" s="289">
        <f>SUBTOTAL(9,EC5:EC18)</f>
        <v>627</v>
      </c>
      <c r="ED19" s="291"/>
      <c r="EE19" s="291"/>
      <c r="EF19" s="292">
        <f>SUBTOTAL(9,EF5:EF18)</f>
        <v>751.00444444444452</v>
      </c>
      <c r="EG19" s="292">
        <f>SUBTOTAL(9,EG5:EG18)</f>
        <v>743</v>
      </c>
      <c r="EH19" s="348"/>
      <c r="EI19" s="293">
        <f t="shared" ref="EI19:EP19" si="235">SUBTOTAL(9,EI5:EI18)</f>
        <v>513</v>
      </c>
      <c r="EJ19" s="293">
        <f t="shared" si="235"/>
        <v>230</v>
      </c>
      <c r="EK19" s="287">
        <f t="shared" si="235"/>
        <v>0</v>
      </c>
      <c r="EL19" s="287">
        <f t="shared" si="235"/>
        <v>3073500</v>
      </c>
      <c r="EM19" s="287">
        <f t="shared" si="235"/>
        <v>3073500</v>
      </c>
      <c r="EN19" s="287">
        <f t="shared" si="235"/>
        <v>13735480</v>
      </c>
      <c r="EO19" s="287">
        <f t="shared" si="235"/>
        <v>57234166.399999991</v>
      </c>
      <c r="EP19" s="287">
        <f t="shared" si="235"/>
        <v>6893698</v>
      </c>
      <c r="EQ19" s="287"/>
      <c r="ER19" s="287">
        <f t="shared" ref="ER19:EZ19" si="236">SUBTOTAL(9,ER5:ER18)</f>
        <v>2213939.8000000007</v>
      </c>
      <c r="ES19" s="287">
        <f t="shared" si="236"/>
        <v>2731554.4000000004</v>
      </c>
      <c r="ET19" s="287">
        <f t="shared" si="236"/>
        <v>-6379600</v>
      </c>
      <c r="EU19" s="287">
        <f t="shared" si="236"/>
        <v>0</v>
      </c>
      <c r="EV19" s="287">
        <f t="shared" si="236"/>
        <v>2731554.4000000004</v>
      </c>
      <c r="EW19" s="287">
        <f t="shared" si="236"/>
        <v>2731554.4000000004</v>
      </c>
      <c r="EX19" s="287">
        <f t="shared" si="236"/>
        <v>4945494.2000000011</v>
      </c>
      <c r="EY19" s="287">
        <f t="shared" si="236"/>
        <v>-54823780.600000001</v>
      </c>
      <c r="EZ19" s="287">
        <f t="shared" si="236"/>
        <v>-49878286.399999991</v>
      </c>
      <c r="FA19" s="287"/>
      <c r="FB19" s="287">
        <f t="shared" ref="FB19:FH19" si="237">SUBTOTAL(9,FB5:FB18)</f>
        <v>243704000</v>
      </c>
      <c r="FC19" s="287">
        <f t="shared" si="237"/>
        <v>0</v>
      </c>
      <c r="FD19" s="287">
        <f t="shared" si="237"/>
        <v>-6379600</v>
      </c>
      <c r="FE19" s="287">
        <f t="shared" si="237"/>
        <v>0</v>
      </c>
      <c r="FF19" s="287">
        <f t="shared" si="237"/>
        <v>0</v>
      </c>
      <c r="FG19" s="287">
        <f t="shared" si="237"/>
        <v>0</v>
      </c>
      <c r="FH19" s="287">
        <f t="shared" si="237"/>
        <v>0</v>
      </c>
      <c r="FI19" s="289"/>
      <c r="FJ19" s="290"/>
      <c r="FK19" s="290"/>
      <c r="FL19" s="289">
        <f>SUBTOTAL(9,FL5:FL18)</f>
        <v>627</v>
      </c>
      <c r="FM19" s="291"/>
      <c r="FN19" s="291"/>
      <c r="FO19" s="292">
        <f>SUBTOTAL(9,FO5:FO18)</f>
        <v>727.70444444444445</v>
      </c>
      <c r="FP19" s="292">
        <f>SUBTOTAL(9,FP5:FP18)</f>
        <v>722</v>
      </c>
      <c r="FQ19" s="348"/>
      <c r="FR19" s="293">
        <f t="shared" ref="FR19:GD19" si="238">SUBTOTAL(9,FR5:FR18)</f>
        <v>106</v>
      </c>
      <c r="FS19" s="293">
        <f t="shared" si="238"/>
        <v>616</v>
      </c>
      <c r="FT19" s="287">
        <f t="shared" si="238"/>
        <v>0</v>
      </c>
      <c r="FU19" s="287">
        <f t="shared" si="238"/>
        <v>228000</v>
      </c>
      <c r="FV19" s="287">
        <f t="shared" si="238"/>
        <v>228000</v>
      </c>
      <c r="FW19" s="287">
        <f t="shared" si="238"/>
        <v>42076460</v>
      </c>
      <c r="FX19" s="287">
        <f t="shared" si="238"/>
        <v>23804038.399999995</v>
      </c>
      <c r="FY19" s="287">
        <f t="shared" si="238"/>
        <v>0</v>
      </c>
      <c r="FZ19" s="287">
        <f t="shared" si="238"/>
        <v>20924967.600000001</v>
      </c>
      <c r="GA19" s="287">
        <f t="shared" si="238"/>
        <v>3116590.2080000015</v>
      </c>
      <c r="GB19" s="287">
        <f t="shared" si="238"/>
        <v>3344590.2080000015</v>
      </c>
      <c r="GC19" s="287">
        <f t="shared" si="238"/>
        <v>-2652545.9999999981</v>
      </c>
      <c r="GD19" s="287">
        <f t="shared" si="238"/>
        <v>692044.20800000289</v>
      </c>
      <c r="GE19" s="287"/>
      <c r="GF19" s="287">
        <f t="shared" ref="GF19:GN19" si="239">SUBTOTAL(9,GF5:GF18)</f>
        <v>236816000</v>
      </c>
      <c r="GG19" s="287">
        <f t="shared" si="239"/>
        <v>0</v>
      </c>
      <c r="GH19" s="287">
        <f t="shared" si="239"/>
        <v>-6117200</v>
      </c>
      <c r="GI19" s="287">
        <f t="shared" si="239"/>
        <v>0</v>
      </c>
      <c r="GJ19" s="287">
        <f t="shared" si="239"/>
        <v>0</v>
      </c>
      <c r="GK19" s="287">
        <f t="shared" si="239"/>
        <v>-6117200</v>
      </c>
      <c r="GL19" s="287">
        <f t="shared" si="239"/>
        <v>-6117200</v>
      </c>
      <c r="GM19" s="287">
        <f t="shared" si="239"/>
        <v>0</v>
      </c>
      <c r="GN19" s="287">
        <f t="shared" si="239"/>
        <v>-6117200</v>
      </c>
      <c r="GO19" s="289"/>
      <c r="GP19" s="290"/>
      <c r="GQ19" s="289">
        <f>SUBTOTAL(9,GQ5:GQ18)</f>
        <v>627</v>
      </c>
      <c r="GR19" s="291"/>
      <c r="GS19" s="291"/>
      <c r="GT19" s="292">
        <f>SUBTOTAL(9,GT5:GT18)</f>
        <v>756.55444444444436</v>
      </c>
      <c r="GU19" s="292">
        <f>SUBTOTAL(9,GU5:GU18)</f>
        <v>746</v>
      </c>
      <c r="GV19" s="348"/>
      <c r="GW19" s="293">
        <f t="shared" ref="GW19:HG19" si="240">SUBTOTAL(9,GW5:GW18)</f>
        <v>746</v>
      </c>
      <c r="GX19" s="293">
        <f t="shared" si="240"/>
        <v>0</v>
      </c>
      <c r="GY19" s="294">
        <f t="shared" si="240"/>
        <v>0</v>
      </c>
      <c r="GZ19" s="287">
        <f t="shared" si="240"/>
        <v>0</v>
      </c>
      <c r="HA19" s="287">
        <f>SUBTOTAL(9,HA5:HA18)</f>
        <v>-6379600</v>
      </c>
      <c r="HB19" s="287">
        <f>SUBTOTAL(9,HB5:HB18)</f>
        <v>0</v>
      </c>
      <c r="HC19" s="287">
        <f t="shared" si="240"/>
        <v>0</v>
      </c>
      <c r="HD19" s="287">
        <f t="shared" si="240"/>
        <v>0</v>
      </c>
      <c r="HE19" s="287">
        <f t="shared" si="240"/>
        <v>0</v>
      </c>
      <c r="HF19" s="287">
        <f t="shared" si="240"/>
        <v>-82286592</v>
      </c>
      <c r="HG19" s="287">
        <f t="shared" si="240"/>
        <v>-82286592</v>
      </c>
      <c r="HH19" s="353"/>
      <c r="HI19" s="287">
        <f t="shared" ref="HI19:HO19" si="241">SUBTOTAL(9,HI5:HI18)</f>
        <v>244688000</v>
      </c>
      <c r="HJ19" s="287">
        <f t="shared" si="241"/>
        <v>0</v>
      </c>
      <c r="HK19" s="287">
        <f t="shared" si="241"/>
        <v>-6379600</v>
      </c>
      <c r="HL19" s="287">
        <f t="shared" si="241"/>
        <v>0</v>
      </c>
      <c r="HM19" s="287">
        <f t="shared" si="241"/>
        <v>0</v>
      </c>
      <c r="HN19" s="287">
        <f t="shared" si="241"/>
        <v>0</v>
      </c>
      <c r="HO19" s="287">
        <f t="shared" si="241"/>
        <v>0</v>
      </c>
    </row>
    <row r="20" spans="1:410" s="11" customFormat="1" ht="30">
      <c r="A20" s="19" t="s">
        <v>324</v>
      </c>
      <c r="B20" s="19" t="s">
        <v>2</v>
      </c>
      <c r="C20" s="19" t="s">
        <v>4</v>
      </c>
      <c r="D20" s="19">
        <v>1</v>
      </c>
      <c r="E20" s="19" t="s">
        <v>293</v>
      </c>
      <c r="F20" s="19" t="s">
        <v>476</v>
      </c>
      <c r="G20" s="23">
        <v>1</v>
      </c>
      <c r="H20" s="23"/>
      <c r="I20" s="442">
        <v>44347</v>
      </c>
      <c r="J20" s="20"/>
      <c r="K20" s="20">
        <v>15000</v>
      </c>
      <c r="L20" s="20"/>
      <c r="M20" s="20"/>
      <c r="N20" s="20"/>
      <c r="O20" s="442">
        <f>SUM(J20:N20)</f>
        <v>15000</v>
      </c>
      <c r="P20" s="21"/>
      <c r="Q20" s="21" t="s">
        <v>40</v>
      </c>
      <c r="R20" s="27">
        <f>I20/AJ20</f>
        <v>492.74444444444447</v>
      </c>
      <c r="S20" s="27">
        <v>20</v>
      </c>
      <c r="T20" s="27">
        <f>I20*S20</f>
        <v>886940</v>
      </c>
      <c r="U20" s="21">
        <v>6</v>
      </c>
      <c r="V20" s="19" t="s">
        <v>58</v>
      </c>
      <c r="W20" s="22" t="s">
        <v>101</v>
      </c>
      <c r="X20" s="19" t="s">
        <v>56</v>
      </c>
      <c r="Y20" s="19"/>
      <c r="Z20" s="19" t="s">
        <v>3</v>
      </c>
      <c r="AA20" s="219" t="s">
        <v>85</v>
      </c>
      <c r="AB20" s="219" t="s">
        <v>86</v>
      </c>
      <c r="AC20" s="224">
        <v>275</v>
      </c>
      <c r="AD20" s="224">
        <f>AC20*I20</f>
        <v>12195425</v>
      </c>
      <c r="AE20" s="24"/>
      <c r="AF20" s="273"/>
      <c r="AG20" s="220">
        <f>IF(ISBLANK(AE20),AD20,AE20)</f>
        <v>12195425</v>
      </c>
      <c r="AH20" s="220">
        <f t="shared" ref="AH20" si="242">AG20</f>
        <v>12195425</v>
      </c>
      <c r="AI20" s="24" t="s">
        <v>248</v>
      </c>
      <c r="AJ20" s="228">
        <f>VLOOKUP($Q20,'Zoning Density'!$A$1:$E$28,3,)</f>
        <v>90</v>
      </c>
      <c r="AK20" s="228">
        <f>IF(AJ20=0,0,(IF(AJ20&gt;$AK$3,AJ20,$AK$3)))</f>
        <v>450</v>
      </c>
      <c r="AL20" s="229">
        <f>IF(AJ20&gt;0,I20/AJ20,0)</f>
        <v>492.74444444444447</v>
      </c>
      <c r="AM20" s="229">
        <f>IF(AK20&gt;0,I20/$AK20,0)</f>
        <v>98.548888888888882</v>
      </c>
      <c r="AN20" s="228">
        <v>1</v>
      </c>
      <c r="AO20" s="221">
        <f>VLOOKUP($AI20,Funding!$A$1:$G$6,3,FALSE)*$AG20</f>
        <v>0</v>
      </c>
      <c r="AP20" s="221">
        <f>VLOOKUP($AI20,Funding!$A$1:$G$6,4,FALSE)*$AG20</f>
        <v>12195425</v>
      </c>
      <c r="AQ20" s="351">
        <f>I20/AJ20</f>
        <v>492.74444444444447</v>
      </c>
      <c r="AR20" s="274" t="s">
        <v>320</v>
      </c>
      <c r="AS20" s="222">
        <f>IF(ISBLANK(AQ20),ROUNDDOWN($AM20,0),ROUNDDOWN(AQ20,0))</f>
        <v>492</v>
      </c>
      <c r="AT20" s="222"/>
      <c r="AU20" s="222">
        <f>AS20-AT20</f>
        <v>492</v>
      </c>
      <c r="AV20" s="221">
        <f>VLOOKUP($AN20,'Impact Fee'!$A$1:$E$20,5,FALSE)*AU20</f>
        <v>10824000</v>
      </c>
      <c r="AW20" s="221">
        <f>IF(P20="yes",IF((J20+M20)&gt;25000,(J20+M20-25000)*6,0),0)</f>
        <v>0</v>
      </c>
      <c r="AX20" s="221"/>
      <c r="AY20" s="321"/>
      <c r="AZ20" s="221">
        <f t="shared" ref="AZ20" si="243">IF(ISBLANK(AX20),AV20+AW20,AX20)</f>
        <v>10824000</v>
      </c>
      <c r="BA20" s="221">
        <f>AO20+AZ20</f>
        <v>10824000</v>
      </c>
      <c r="BB20" s="221">
        <f>AP20+AZ20</f>
        <v>23019425</v>
      </c>
      <c r="BC20" s="271">
        <f t="shared" ref="BC20" si="244">BA20/$BD$3</f>
        <v>86.591999999999999</v>
      </c>
      <c r="BD20" s="271">
        <f t="shared" ref="BD20" si="245">BB20/$BD$3</f>
        <v>184.15539999999999</v>
      </c>
      <c r="BE20" s="271" t="s">
        <v>233</v>
      </c>
      <c r="BF20" s="221">
        <f>IF(BE20="y",AS20*$BF$2,AS20*$BF$3)</f>
        <v>218448000</v>
      </c>
      <c r="BG20" s="221">
        <f>($HU20*$IA20)+($HV20*$IB20)+($HX20*$ID20)+($HY20*$IE20)</f>
        <v>5250000</v>
      </c>
      <c r="BH20" s="221">
        <f>IF(AU20&gt;79,-$BJ$2*BF20,0)</f>
        <v>-10922400</v>
      </c>
      <c r="BI20" s="221">
        <f>IF(BG20&gt;$BI$3,-$BJ$2*BG20,0)</f>
        <v>0</v>
      </c>
      <c r="BJ20" s="221">
        <f>BH20+BI20</f>
        <v>-10922400</v>
      </c>
      <c r="BK20" s="221">
        <f>IF(AU20&gt;79,-$BM$2*BF20,0)</f>
        <v>-10922400</v>
      </c>
      <c r="BL20" s="221">
        <f>IF(BG20&gt;$BL$3,-$BM$2*BG20,0)</f>
        <v>0</v>
      </c>
      <c r="BM20" s="221">
        <f>BK20+BL20</f>
        <v>-10922400</v>
      </c>
      <c r="BN20" s="259">
        <f>AS20</f>
        <v>492</v>
      </c>
      <c r="BO20" s="260" t="s">
        <v>321</v>
      </c>
      <c r="BP20" s="259">
        <f>IF(ISBLANK(BN20),ROUNDDOWN(AS20,0),ROUNDDOWN(BN20,0))</f>
        <v>492</v>
      </c>
      <c r="BQ20" s="261">
        <v>0</v>
      </c>
      <c r="BR20" s="261">
        <f>IF(BQ20&gt;0.2,0.35,VLOOKUP(BQ20,'Density Bonus'!$A$1:$B$15,2,FALSE))</f>
        <v>0</v>
      </c>
      <c r="BS20" s="262">
        <f>IF($I20/$AK$3&gt;((1+BR20)*BP20),(1+BR20)*BP20,IF(BP20&gt;($I20/$AK$3),BP20,($I20/$AK$3)))</f>
        <v>492</v>
      </c>
      <c r="BT20" s="262">
        <f>IF(BR20&gt;0,ROUNDUP(BS20,0),ROUNDDOWN(BS20,0))</f>
        <v>492</v>
      </c>
      <c r="BU20" s="349"/>
      <c r="BV20" s="263">
        <f>BQ20*BT20</f>
        <v>0</v>
      </c>
      <c r="BW20" s="263">
        <f>BT20-BV20</f>
        <v>492</v>
      </c>
      <c r="BX20" s="264">
        <f>IF(F20="Commercial",IF((J20+M20)&gt;25000,(J20+M20-25000)*6,0),0)</f>
        <v>0</v>
      </c>
      <c r="BY20" s="264">
        <f>IF(BQ20&lt;0.15,(VLOOKUP($AN20,'Impact Fee'!$A$1:$E$10,5,FALSE)*BW20),0)</f>
        <v>10824000</v>
      </c>
      <c r="BZ20" s="264">
        <f>BX20+BY20</f>
        <v>10824000</v>
      </c>
      <c r="CA20" s="264">
        <f>IF(BQ20&lt;1,IF(BY20&gt;0,$AG20+($AZ20-BZ20),$AG20),0)</f>
        <v>12195425</v>
      </c>
      <c r="CB20" s="264">
        <f>IF(BQ20&lt;0.15,BW20*IF(CI20="y",$CC$2,$CC$3),0)</f>
        <v>0</v>
      </c>
      <c r="CC20" s="264">
        <f t="shared" ref="CC20" si="246">IF(CB20&gt;CA20,CA20,CB20)</f>
        <v>0</v>
      </c>
      <c r="CD20" s="264">
        <f>IF(BQ20&lt;1,$AG20,0)</f>
        <v>12195425</v>
      </c>
      <c r="CE20" s="264">
        <f>CD20*IF(F20="Commercial",CE$3,VLOOKUP($AI20,Funding!$A$1:$G$6,5,FALSE))</f>
        <v>9756340</v>
      </c>
      <c r="CF20" s="264">
        <f>SUM(BZ20,CC20,CE20)</f>
        <v>20580340</v>
      </c>
      <c r="CG20" s="264">
        <f>BV20*$CG$3</f>
        <v>0</v>
      </c>
      <c r="CH20" s="264">
        <f>CF20+CG20</f>
        <v>20580340</v>
      </c>
      <c r="CI20" s="264" t="s">
        <v>233</v>
      </c>
      <c r="CJ20" s="264">
        <f>IF(CI20="y",BT20*$BF$2,BT20*$BF$3)</f>
        <v>218448000</v>
      </c>
      <c r="CK20" s="264">
        <f>($KA20*$KG20)+($KB20*$KH20)+($KD20*$KJ20)+($KE20*$KK20)</f>
        <v>5250000</v>
      </c>
      <c r="CL20" s="264">
        <f>IF(BT20&gt;79,IF(BQ20&gt;0,-$BJ$2*CJ20,0),0)</f>
        <v>0</v>
      </c>
      <c r="CM20" s="264">
        <f>IF(BT20&gt;79,IF(BQ20=0,-$BJ$2*CJ20,0),0)</f>
        <v>-10922400</v>
      </c>
      <c r="CN20" s="264">
        <f>IF(CK20&gt;$CN$3,-$BJ$2*CK20,0)</f>
        <v>0</v>
      </c>
      <c r="CO20" s="264">
        <f>SUM(CL20:CN20)</f>
        <v>-10922400</v>
      </c>
      <c r="CP20" s="264">
        <f>IF(BT20&gt;79,-$BM$2*CJ20*(1-BQ20),0)</f>
        <v>-10922400</v>
      </c>
      <c r="CQ20" s="264">
        <f>IF(CK20&gt;$CQ$3,-$BM$2*CK20,0)</f>
        <v>0</v>
      </c>
      <c r="CR20" s="264">
        <f>CP20+CQ20</f>
        <v>-10922400</v>
      </c>
      <c r="CS20" s="520">
        <f>$AM20</f>
        <v>98.548888888888882</v>
      </c>
      <c r="CT20" s="521" t="s">
        <v>278</v>
      </c>
      <c r="CU20" s="520">
        <f>IF(ISBLANK(CS20),ROUNDDOWN($AS20,0),ROUNDDOWN(CS20,0))</f>
        <v>98</v>
      </c>
      <c r="CV20" s="522">
        <v>1</v>
      </c>
      <c r="CW20" s="522">
        <f>IF(CV20&gt;0.2,0.35,VLOOKUP(CV20,'Density Bonus'!$A$1:$B$15,2,FALSE))</f>
        <v>0.35</v>
      </c>
      <c r="CX20" s="523">
        <f>IF($I20/$AK$3&gt;((1+CW20)*CU20),(1+CW20)*CU20,IF(CU20&gt;($I20/$AK$3),CU20,($I20/$AK$3)))</f>
        <v>98.548888888888882</v>
      </c>
      <c r="CY20" s="523">
        <f>IF(CW20&gt;0,ROUNDUP(CX20,0),ROUNDDOWN(CX20,0))</f>
        <v>99</v>
      </c>
      <c r="CZ20" s="347"/>
      <c r="DA20" s="524">
        <f>IF(ISBLANK($AT20),ROUND(CV20*CY20,0),$AT20)</f>
        <v>99</v>
      </c>
      <c r="DB20" s="524">
        <f>CY20-DA20</f>
        <v>0</v>
      </c>
      <c r="DC20" s="525">
        <f>IF($P20="Yes",$AZ20,IF($E20="Under Agreement",$AZ20,0))</f>
        <v>0</v>
      </c>
      <c r="DD20" s="525">
        <f>IF(CV20&lt;0.4,VLOOKUP($AN20,'Impact Fee'!$A$1:$E$10,5,FALSE)*DB20,0)</f>
        <v>0</v>
      </c>
      <c r="DE20" s="525">
        <f>DC20+DD20</f>
        <v>0</v>
      </c>
      <c r="DF20" s="525">
        <f>IF(CV20&lt;1,$AG20+DD20,0)</f>
        <v>0</v>
      </c>
      <c r="DG20" s="525">
        <f>IF(CV20&lt;1,IF(DS20="y",DA20*$DG$2,DA20*$DG$3),DA20*$HF$3)</f>
        <v>10073448</v>
      </c>
      <c r="DH20" s="525">
        <f>IF(CV20&lt;0.4,(0.4-CV20)*CY20*$DH$3,0)</f>
        <v>0</v>
      </c>
      <c r="DI20" s="525">
        <f>DF20-(DG20-DL20-DM20)</f>
        <v>-11697048</v>
      </c>
      <c r="DJ20" s="525">
        <f t="shared" ref="DJ20" si="247">IF(DI20&gt;0,IF(DH20&gt;DI20,DI20,DH20),0)</f>
        <v>0</v>
      </c>
      <c r="DK20" s="525">
        <f>IF(CV20&lt;1,IF((DF20-(DG20+DJ20))&gt;0,DF20-(DG20+DJ20),0),0)</f>
        <v>0</v>
      </c>
      <c r="DL20" s="525">
        <f>SUM(DV20:DX20)</f>
        <v>-1623600</v>
      </c>
      <c r="DM20" s="525">
        <f>DY20+DZ20</f>
        <v>0</v>
      </c>
      <c r="DN20" s="525">
        <f>IF(CV20&lt;1,IF((DF20-(DG20+DJ20-DL20-DM20))&gt;0,DF20-(DG20+DJ20-DL20-DM20),0),0)</f>
        <v>0</v>
      </c>
      <c r="DO20" s="525">
        <f>VLOOKUP($AI20,Funding!$A$1:$G$6,6,FALSE)*DN20</f>
        <v>0</v>
      </c>
      <c r="DP20" s="525">
        <f>SUM(DC20,DJ20,DO20)</f>
        <v>0</v>
      </c>
      <c r="DQ20" s="525">
        <f>IF((DF20-(DG20+DJ20-DL20-DM20))&lt;0,DF20-(DG20+DJ20-DL20-DM20),0)</f>
        <v>-11697048</v>
      </c>
      <c r="DR20" s="525">
        <f t="shared" ref="DR20" si="248">DP20+DQ20</f>
        <v>-11697048</v>
      </c>
      <c r="DS20" s="525"/>
      <c r="DT20" s="525">
        <f>IF(DS20="y",CY20*$BF$2,CY20*$BF$3)</f>
        <v>32472000</v>
      </c>
      <c r="DU20" s="525">
        <f>($ME20*$MJ20)+($MF20*$MK20)+($MH20*$MM20)+($MI20*$MN20)</f>
        <v>0</v>
      </c>
      <c r="DV20" s="525">
        <f>IF(CY20&gt;79,IF(CV20&gt;0,-$BJ$2*DT20,0),0)</f>
        <v>-1623600</v>
      </c>
      <c r="DW20" s="525">
        <f>IF(CY20&gt;79,IF(CV20=0,-$BJ$2*DT20,0),0)</f>
        <v>0</v>
      </c>
      <c r="DX20" s="525">
        <f>IF(DU20&gt;$DX$3,-$BJ$2*DU20,0)</f>
        <v>0</v>
      </c>
      <c r="DY20" s="525">
        <f>IF(CY20&gt;79,IF(CV20=1,0,-$BM$2*DT20),0)</f>
        <v>0</v>
      </c>
      <c r="DZ20" s="525">
        <f>IF(DU20&gt;$DZ$3,-$BM$2*DU20,0)</f>
        <v>0</v>
      </c>
      <c r="EA20" s="819">
        <f>$AM20</f>
        <v>98.548888888888882</v>
      </c>
      <c r="EB20" s="820" t="s">
        <v>278</v>
      </c>
      <c r="EC20" s="819">
        <f>IF(ISBLANK(EA20),ROUNDDOWN($AS20,0),ROUNDDOWN(EA20,0))</f>
        <v>98</v>
      </c>
      <c r="ED20" s="821">
        <v>1</v>
      </c>
      <c r="EE20" s="821">
        <f>IF(ED20&gt;0.2,0.35,VLOOKUP(ED20,'Density Bonus'!$A$1:$B$15,2,FALSE))</f>
        <v>0.35</v>
      </c>
      <c r="EF20" s="822">
        <f>IF($I20/$AK$3&gt;((1+EE20)*EC20),(1+EE20)*EC20,IF(EC20&gt;($I20/$AK$3),EC20,($I20/$AK$3)))</f>
        <v>98.548888888888882</v>
      </c>
      <c r="EG20" s="822">
        <f>IF(EE20&gt;0,ROUNDUP(EF20,0),ROUNDDOWN(EF20,0))</f>
        <v>99</v>
      </c>
      <c r="EH20" s="823"/>
      <c r="EI20" s="824">
        <f>IF(ISBLANK($AT20),ROUND(ED20*EG20,0),$AT20)</f>
        <v>99</v>
      </c>
      <c r="EJ20" s="824">
        <f>EG20-EI20</f>
        <v>0</v>
      </c>
      <c r="EK20" s="825">
        <f>IF($P20="Yes",$AZ20,IF($E20="Under Agreement",$AZ20,0))</f>
        <v>0</v>
      </c>
      <c r="EL20" s="825">
        <f>IF(ED20&lt;0.4,VLOOKUP($AN20,'Impact Fee'!$A$1:$E$10,5,FALSE)*EJ20,0)</f>
        <v>0</v>
      </c>
      <c r="EM20" s="825">
        <f>EK20+EL20</f>
        <v>0</v>
      </c>
      <c r="EN20" s="825">
        <f>IF(ED20&lt;1,$AG20+EL20,0)</f>
        <v>0</v>
      </c>
      <c r="EO20" s="825">
        <f>IF(ED20&lt;1,IF(FA20="y",EI20*$DG$2,EI20*$DG$3),EI20*$HF$3)</f>
        <v>10073448</v>
      </c>
      <c r="EP20" s="825">
        <f>IF(ED20&lt;0.4,(0.4-ED20)*EG20*$DH$3,0)</f>
        <v>0</v>
      </c>
      <c r="EQ20" s="825">
        <f>EN20-(EO20-ET20-EU20)</f>
        <v>-11697048</v>
      </c>
      <c r="ER20" s="825">
        <f t="shared" ref="ER20" si="249">IF(EQ20&gt;0,IF(EP20&gt;EQ20,EQ20,EP20),0)</f>
        <v>0</v>
      </c>
      <c r="ES20" s="825">
        <f>IF(ED20&lt;1,IF((EN20-(EO20+ER20))&gt;0,EN20-(EO20+ER20),0),0)</f>
        <v>0</v>
      </c>
      <c r="ET20" s="825">
        <f>SUM(FD20:FF20)</f>
        <v>-1623600</v>
      </c>
      <c r="EU20" s="825">
        <f>FG20+FH20</f>
        <v>0</v>
      </c>
      <c r="EV20" s="825">
        <f>IF(ED20&lt;1,IF((EN20-(EO20+ER20-ET20-EU20))&gt;0,EN20-(EO20+ER20-ET20-EU20),0),0)</f>
        <v>0</v>
      </c>
      <c r="EW20" s="825">
        <f>VLOOKUP($AI20,Funding!$A$1:$G$6,6,FALSE)*EV20</f>
        <v>0</v>
      </c>
      <c r="EX20" s="825">
        <f>SUM(EK20,ER20,EW20)</f>
        <v>0</v>
      </c>
      <c r="EY20" s="825">
        <f>IF((EN20-(EO20+ER20-ET20-EU20))&lt;0,EN20-(EO20+ER20-ET20-EU20),0)</f>
        <v>-11697048</v>
      </c>
      <c r="EZ20" s="825">
        <f t="shared" ref="EZ20" si="250">EX20+EY20</f>
        <v>-11697048</v>
      </c>
      <c r="FA20" s="825"/>
      <c r="FB20" s="825">
        <f>IF(FA20="y",EG20*$BF$2,EG20*$BF$3)</f>
        <v>32472000</v>
      </c>
      <c r="FC20" s="825">
        <f>($ME20*$MJ20)+($MF20*$MK20)+($MH20*$MM20)+($MI20*$MN20)</f>
        <v>0</v>
      </c>
      <c r="FD20" s="825">
        <f>IF(EG20&gt;79,IF(ED20&gt;0,-$BJ$2*FB20,0),0)</f>
        <v>-1623600</v>
      </c>
      <c r="FE20" s="825">
        <f>IF(EG20&gt;79,IF(ED20=0,-$BJ$2*FB20,0),0)</f>
        <v>0</v>
      </c>
      <c r="FF20" s="825">
        <f>IF(FC20&gt;$DX$3,-$BJ$2*FC20,0)</f>
        <v>0</v>
      </c>
      <c r="FG20" s="825">
        <f>IF(EG20&gt;79,IF(ED20=1,0,-$BM$2*FB20),0)</f>
        <v>0</v>
      </c>
      <c r="FH20" s="825">
        <f>IF(FC20&gt;$DZ$3,-$BM$2*FC20,0)</f>
        <v>0</v>
      </c>
      <c r="FI20" s="545">
        <f>$AM20</f>
        <v>98.548888888888882</v>
      </c>
      <c r="FJ20" s="546" t="s">
        <v>278</v>
      </c>
      <c r="FK20" s="546"/>
      <c r="FL20" s="545">
        <f>IF(ISBLANK(FI20),ROUNDDOWN($AS20,0),ROUNDDOWN(FI20,0))</f>
        <v>98</v>
      </c>
      <c r="FM20" s="547">
        <v>0.15</v>
      </c>
      <c r="FN20" s="547">
        <f>IF(FM20&gt;0.2,0.35,VLOOKUP(FM20,'Density Bonus'!$A$1:$B$15,2,FALSE))</f>
        <v>0.27500000000000002</v>
      </c>
      <c r="FO20" s="548">
        <f>IF($I20/$AK$3&gt;((1+FN20)*FL20),(1+FN20)*FL20,IF(FL20&gt;($I20/$AK$3),FL20,($I20/$AK$3)))</f>
        <v>98.548888888888882</v>
      </c>
      <c r="FP20" s="548">
        <f>IF(FN20&gt;0,ROUNDUP(FO20,0),ROUNDDOWN(FO20,0))</f>
        <v>99</v>
      </c>
      <c r="FQ20" s="347"/>
      <c r="FR20" s="549">
        <f>IF(ISBLANK($AT20),ROUND(FM20*FP20,0),$AT20)</f>
        <v>15</v>
      </c>
      <c r="FS20" s="549">
        <f>FP20-FR20</f>
        <v>84</v>
      </c>
      <c r="FT20" s="550">
        <f>IF($P20="Yes",$AZ20,IF($E20="Under Agreement",$AZ20,0))</f>
        <v>0</v>
      </c>
      <c r="FU20" s="550">
        <f>IF(FM20&lt;0.15,(VLOOKUP($AN20,'Impact Fee'!$A$1:$E$10,5,FALSE)*FS20),0)</f>
        <v>0</v>
      </c>
      <c r="FV20" s="550">
        <f>FT20+FU20</f>
        <v>0</v>
      </c>
      <c r="FW20" s="550">
        <f>$AG20</f>
        <v>12195425</v>
      </c>
      <c r="FX20" s="550">
        <f t="shared" ref="FX20" si="251">IF(GE20="y",FR20*$FX$2,FR20*$FX$3)</f>
        <v>3368495.9999999995</v>
      </c>
      <c r="FY20" s="550">
        <f>IF(FM20&lt;0.4,(0.4-FM20)*FP20*FY$3,0)</f>
        <v>0</v>
      </c>
      <c r="FZ20" s="550">
        <f t="shared" ref="FZ20" si="252">IF((FW20-(FX20+FY20))&gt;0,FW20-(FX20+FY20),0)</f>
        <v>8826929</v>
      </c>
      <c r="GA20" s="550">
        <f>VLOOKUP($AI20,Funding!$A$1:$G$6,3,FALSE)*$AG20</f>
        <v>0</v>
      </c>
      <c r="GB20" s="550">
        <f>SUM(FV20,FY20,GA20)</f>
        <v>0</v>
      </c>
      <c r="GC20" s="550">
        <f>IF((FW20-(FX20+FY20))&lt;0,FW20-(FX20+FY20),0)</f>
        <v>0</v>
      </c>
      <c r="GD20" s="550">
        <f t="shared" ref="GD20" si="253">GB20+GC20</f>
        <v>0</v>
      </c>
      <c r="GE20" s="550"/>
      <c r="GF20" s="550">
        <f>IF(GE20="y",FP20*$BF$2,FP20*$BF$3)</f>
        <v>32472000</v>
      </c>
      <c r="GG20" s="550">
        <f>DU20</f>
        <v>0</v>
      </c>
      <c r="GH20" s="550">
        <f>IF(FP20&gt;79,IF(FM20&gt;0,-$BJ$2*GF20,0),0)</f>
        <v>-1623600</v>
      </c>
      <c r="GI20" s="550">
        <f>IF(FP20&gt;79,IF(FM20=0,-$BJ$2*GF20,0),0)</f>
        <v>0</v>
      </c>
      <c r="GJ20" s="550">
        <f>IF(GG20&gt;$DX$3,-$BJ$2*GG20,0)</f>
        <v>0</v>
      </c>
      <c r="GK20" s="550">
        <f>SUM(GH20:GJ20)</f>
        <v>-1623600</v>
      </c>
      <c r="GL20" s="550">
        <f>IF(FP20&gt;79,IF(FM20=1,0,-$BM$2*GF20),0)</f>
        <v>-1623600</v>
      </c>
      <c r="GM20" s="550">
        <f>IF(GG20&gt;$DZ$3,-$BM$2*GG20,0)</f>
        <v>0</v>
      </c>
      <c r="GN20" s="550">
        <f>GL20+GM20</f>
        <v>-1623600</v>
      </c>
      <c r="GO20" s="199">
        <f>$AM20</f>
        <v>98.548888888888882</v>
      </c>
      <c r="GP20" s="275" t="s">
        <v>278</v>
      </c>
      <c r="GQ20" s="199">
        <f>IF(ISBLANK(GO20),ROUNDDOWN(AS20,0),ROUNDDOWN(GO20,0))</f>
        <v>98</v>
      </c>
      <c r="GR20" s="34">
        <v>1</v>
      </c>
      <c r="GS20" s="34">
        <f>IF(GR20&gt;0.2,0.35,VLOOKUP(GR20,'Density Bonus'!$A$1:$B$15,2,FALSE))</f>
        <v>0.35</v>
      </c>
      <c r="GT20" s="235">
        <f>IF($I20/$AK$3&gt;((1+GS20)*GQ20),(1+GS20)*GQ20,IF(GQ20&gt;($I20/$AK$3),GQ20,($I20/$AK$3)))</f>
        <v>98.548888888888882</v>
      </c>
      <c r="GU20" s="235">
        <f>IF(GS20&gt;0,ROUNDUP(GT20,0),ROUNDDOWN(GT20,0))</f>
        <v>99</v>
      </c>
      <c r="GV20" s="347"/>
      <c r="GW20" s="31">
        <f>IF(ISBLANK($AT20),GR20*GU20,$AT20)</f>
        <v>99</v>
      </c>
      <c r="GX20" s="31">
        <f>GU20-GW20</f>
        <v>0</v>
      </c>
      <c r="GY20" s="196" t="str">
        <f>IF($P20="Yes",$AZ20,IF($E20="Under Agreement",$AZ20,""))</f>
        <v/>
      </c>
      <c r="GZ20" s="238">
        <f>IF(GR20&lt;1,$AG20+($AZ20-GY20),0)</f>
        <v>0</v>
      </c>
      <c r="HA20" s="238">
        <f>SUM(HK20:HM20)</f>
        <v>-1623600</v>
      </c>
      <c r="HB20" s="238">
        <f>HN20+HO20</f>
        <v>0</v>
      </c>
      <c r="HC20" s="238">
        <f t="shared" si="224"/>
        <v>0</v>
      </c>
      <c r="HD20" s="238">
        <f>VLOOKUP($AI20,Funding!$A$1:$G$6,7,FALSE)*HC20</f>
        <v>0</v>
      </c>
      <c r="HE20" s="238">
        <f>SUM(GY20,HD20)</f>
        <v>0</v>
      </c>
      <c r="HF20" s="238">
        <f t="shared" si="226"/>
        <v>-11697048</v>
      </c>
      <c r="HG20" s="238">
        <f>HE20+HF20</f>
        <v>-11697048</v>
      </c>
      <c r="HH20" s="238"/>
      <c r="HI20" s="238">
        <f>IF(HH20="y",GU20*$BF$2,GU20*$BF$3)</f>
        <v>32472000</v>
      </c>
      <c r="HJ20" s="238">
        <f>$BG20</f>
        <v>5250000</v>
      </c>
      <c r="HK20" s="238">
        <f>IF(GU20&gt;79,IF(GR20&gt;0,-$BJ$2*HI20,0),0)</f>
        <v>-1623600</v>
      </c>
      <c r="HL20" s="238">
        <f>IF(GU20&gt;79,IF(GR20=0,-$BJ$2*HI20,0),0)</f>
        <v>0</v>
      </c>
      <c r="HM20" s="238">
        <f>IF(HJ20&gt;$HM$3,-$BJ$2*HJ20,0)</f>
        <v>0</v>
      </c>
      <c r="HN20" s="238">
        <f>IF(GU20&gt;79,-$BM$2*HI20*(1-GR20),0)</f>
        <v>0</v>
      </c>
      <c r="HO20" s="238">
        <f>IF(HJ20&gt;$HO$3,-$BM$2*HJ20,0)</f>
        <v>0</v>
      </c>
      <c r="HP20" s="397"/>
      <c r="HQ20" s="424" t="s">
        <v>446</v>
      </c>
      <c r="HR20" s="426">
        <f>AH20</f>
        <v>12195425</v>
      </c>
      <c r="HS20" s="425">
        <f>AT20</f>
        <v>0</v>
      </c>
      <c r="HT20" s="425">
        <f>AU20</f>
        <v>492</v>
      </c>
      <c r="HU20" s="429">
        <f>J20</f>
        <v>0</v>
      </c>
      <c r="HV20" s="429">
        <f>K20</f>
        <v>15000</v>
      </c>
      <c r="HW20" s="429">
        <f>L20</f>
        <v>0</v>
      </c>
      <c r="HX20" s="429">
        <f>M20</f>
        <v>0</v>
      </c>
      <c r="HY20" s="429">
        <f>N20</f>
        <v>0</v>
      </c>
      <c r="HZ20" s="426">
        <f>IF(BE20="y",$BF$2,$BF$3)</f>
        <v>444000</v>
      </c>
      <c r="IA20" s="425"/>
      <c r="IB20" s="426">
        <v>350</v>
      </c>
      <c r="IC20" s="425"/>
      <c r="ID20" s="425"/>
      <c r="IE20" s="425"/>
      <c r="IF20" s="427">
        <f>(($HR20+((HS20+HT20)*HZ20)+(HU20*IA20)+(HV20*IB20)+(HW20*IC20)+(HX20*ID20))*0.01*0.29)</f>
        <v>684090.9325</v>
      </c>
      <c r="IG20" s="428">
        <f>((1.17*IF20/0.29)*0.39)-IF20</f>
        <v>392290.76577499986</v>
      </c>
      <c r="IH20" s="428">
        <f>HV20*400*0.01</f>
        <v>60000</v>
      </c>
      <c r="II20" s="428">
        <f>(HT20*(IF(HQ20="Downtown",$HZ$1,$HZ$2))*12*0.01395)+(HU20*(IF(HQ20="Downtown",$IA$1,$IA$2))*12*0.01395)+(HV20*(IF(HQ20="Downtown",$IB$1,$IB$2))*12*0.01395)+(HW20*(IF(HQ20="Downtown",$IC$1,$IC$2))*12*0.0018)+(HX20*(IF(HQ20="Downtown",$ID$1,$ID$2))*12*0.01395)</f>
        <v>304031.88</v>
      </c>
      <c r="IJ20" s="428">
        <f>HW20*$IC$1*12*0.14</f>
        <v>0</v>
      </c>
      <c r="IK20" s="428">
        <f>SUM(IF20:IJ20)</f>
        <v>1440413.5782749997</v>
      </c>
      <c r="IL20" s="429">
        <f>(HU20/300)+(HV20/500)+(HW20/1.33)+(HX20/1000)</f>
        <v>30</v>
      </c>
      <c r="IM20" s="427">
        <f>Sites!AG20</f>
        <v>12195425</v>
      </c>
      <c r="IN20" s="428">
        <f>0.015*IM20</f>
        <v>182931.375</v>
      </c>
      <c r="IO20" s="429">
        <f>(((HS20+HT20)*HZ20)+(HU20*IA20)+(HV20*IB20)+(HW20*IC20)+(HX20*ID20))/$IO$1</f>
        <v>1118.49</v>
      </c>
      <c r="IP20" s="426">
        <f>SUM(IT20:JW20)</f>
        <v>53547951.844214976</v>
      </c>
      <c r="IQ20" s="426">
        <f>NPV(5%,IT20:JW20)</f>
        <v>28062308.585731756</v>
      </c>
      <c r="IR20" s="430">
        <v>2022</v>
      </c>
      <c r="IS20" s="431"/>
      <c r="IT20" s="431"/>
      <c r="IU20" s="431"/>
      <c r="IV20" s="431"/>
      <c r="IW20" s="428"/>
      <c r="IX20" s="428">
        <f t="shared" ref="IX20:JW20" si="254">IX$4*$IK20</f>
        <v>1590332.9804420478</v>
      </c>
      <c r="IY20" s="428">
        <f t="shared" si="254"/>
        <v>1622139.6400508888</v>
      </c>
      <c r="IZ20" s="428">
        <f t="shared" si="254"/>
        <v>1654582.4328519062</v>
      </c>
      <c r="JA20" s="428">
        <f t="shared" si="254"/>
        <v>1687674.0815089445</v>
      </c>
      <c r="JB20" s="428">
        <f t="shared" si="254"/>
        <v>1721427.5631391234</v>
      </c>
      <c r="JC20" s="428">
        <f t="shared" si="254"/>
        <v>1755856.114401906</v>
      </c>
      <c r="JD20" s="428">
        <f t="shared" si="254"/>
        <v>1790973.2366899438</v>
      </c>
      <c r="JE20" s="428">
        <f t="shared" si="254"/>
        <v>1826792.701423743</v>
      </c>
      <c r="JF20" s="428">
        <f t="shared" si="254"/>
        <v>1863328.5554522176</v>
      </c>
      <c r="JG20" s="428">
        <f t="shared" si="254"/>
        <v>1900595.1265612622</v>
      </c>
      <c r="JH20" s="428">
        <f t="shared" si="254"/>
        <v>1938607.0290924869</v>
      </c>
      <c r="JI20" s="428">
        <f t="shared" si="254"/>
        <v>1977379.1696743369</v>
      </c>
      <c r="JJ20" s="428">
        <f t="shared" si="254"/>
        <v>2016926.7530678238</v>
      </c>
      <c r="JK20" s="428">
        <f t="shared" si="254"/>
        <v>2057265.2881291802</v>
      </c>
      <c r="JL20" s="428">
        <f t="shared" si="254"/>
        <v>2098410.5938917636</v>
      </c>
      <c r="JM20" s="428">
        <f t="shared" si="254"/>
        <v>2140378.805769599</v>
      </c>
      <c r="JN20" s="428">
        <f t="shared" si="254"/>
        <v>2183186.3818849912</v>
      </c>
      <c r="JO20" s="428">
        <f t="shared" si="254"/>
        <v>2226850.109522691</v>
      </c>
      <c r="JP20" s="428">
        <f t="shared" si="254"/>
        <v>2271387.1117131445</v>
      </c>
      <c r="JQ20" s="428">
        <f t="shared" si="254"/>
        <v>2316814.8539474076</v>
      </c>
      <c r="JR20" s="428">
        <f t="shared" si="254"/>
        <v>2363151.1510263556</v>
      </c>
      <c r="JS20" s="428">
        <f t="shared" si="254"/>
        <v>2410414.1740468829</v>
      </c>
      <c r="JT20" s="428">
        <f t="shared" si="254"/>
        <v>2458622.45752782</v>
      </c>
      <c r="JU20" s="428">
        <f t="shared" si="254"/>
        <v>2507794.9066783772</v>
      </c>
      <c r="JV20" s="428">
        <f t="shared" si="254"/>
        <v>2557950.8048119443</v>
      </c>
      <c r="JW20" s="428">
        <f t="shared" si="254"/>
        <v>2609109.8209081832</v>
      </c>
      <c r="JX20" s="432"/>
      <c r="JY20" s="435">
        <f>BV20</f>
        <v>0</v>
      </c>
      <c r="JZ20" s="435">
        <f>BW20</f>
        <v>492</v>
      </c>
      <c r="KA20" s="435">
        <f>J20</f>
        <v>0</v>
      </c>
      <c r="KB20" s="435">
        <f>K20</f>
        <v>15000</v>
      </c>
      <c r="KC20" s="435">
        <f>L20</f>
        <v>0</v>
      </c>
      <c r="KD20" s="435">
        <f>M20</f>
        <v>0</v>
      </c>
      <c r="KE20" s="435">
        <f>N20</f>
        <v>0</v>
      </c>
      <c r="KF20" s="432">
        <f>IF(CI20="y",$BF$2,$BF$3)</f>
        <v>444000</v>
      </c>
      <c r="KG20" s="445">
        <f t="shared" ref="KG20:KK20" si="255">IA20</f>
        <v>0</v>
      </c>
      <c r="KH20" s="445">
        <f t="shared" si="255"/>
        <v>350</v>
      </c>
      <c r="KI20" s="445">
        <f t="shared" si="255"/>
        <v>0</v>
      </c>
      <c r="KJ20" s="445">
        <f t="shared" si="255"/>
        <v>0</v>
      </c>
      <c r="KK20" s="445">
        <f t="shared" si="255"/>
        <v>0</v>
      </c>
      <c r="KL20" s="434">
        <f>(($HR20+(JZ20*KF20)+(KA20*KG20)+(KB20*KH20)+(KC20*KI20)+(KD20*KJ20))*0.01*0.29)</f>
        <v>684090.9325</v>
      </c>
      <c r="KM20" s="432">
        <f>((1.17*KL20/0.29)*0.39)-KL20</f>
        <v>392290.76577499986</v>
      </c>
      <c r="KN20" s="432">
        <f>KB20*400*0.01</f>
        <v>60000</v>
      </c>
      <c r="KO20" s="432">
        <f>(JZ20*(IF($HQ20="Downtown",$HZ$1,$HZ$2))*12*0.01395)+(KA20*(IF($HQ20="Downtown",$IA$1,$IA$2))*12*0.01395)+(KB20*(IF($HQ20="Downtown",$IB$1,$IB$2))*12*0.01395)+(KC20*(IF($HQ20="Downtown",$IC$1,$IC$2))*12*0.0018)+(KD20*(IF($HQ20="Downtown",$ID$1,$ID$2))*12*0.01395)</f>
        <v>304031.88</v>
      </c>
      <c r="KP20" s="432">
        <f>KC20*$IC$1*12*0.14</f>
        <v>0</v>
      </c>
      <c r="KQ20" s="432">
        <f>SUM(KL20:KP20)</f>
        <v>1440413.5782749997</v>
      </c>
      <c r="KR20" s="435">
        <f>(KA20/300)+(KB20/500)+(KC20/1.33)+(KD20/1000)</f>
        <v>30</v>
      </c>
      <c r="KS20" s="434">
        <f>CD20</f>
        <v>12195425</v>
      </c>
      <c r="KT20" s="432">
        <f>0.015*KS20</f>
        <v>182931.375</v>
      </c>
      <c r="KU20" s="435">
        <f>(((JY20+JZ20)*KF20)+(KA20*KG20)+(KB20*KH20)+(KC20*KI20)+(KD20*KJ20))/$IO$1</f>
        <v>1118.49</v>
      </c>
      <c r="KV20" s="433">
        <f>SUM(KZ20:MC20)</f>
        <v>53547951.844214976</v>
      </c>
      <c r="KW20" s="433">
        <f>NPV(5%,KZ20:MC20)</f>
        <v>28062308.585731756</v>
      </c>
      <c r="KX20" s="436">
        <f>IR20</f>
        <v>2022</v>
      </c>
      <c r="KY20" s="411"/>
      <c r="KZ20" s="411"/>
      <c r="LA20" s="411"/>
      <c r="LB20" s="411"/>
      <c r="LC20" s="411"/>
      <c r="LD20" s="446">
        <f t="shared" ref="LD20:MC20" si="256">LD$4*$KQ20</f>
        <v>1590332.9804420478</v>
      </c>
      <c r="LE20" s="446">
        <f t="shared" si="256"/>
        <v>1622139.6400508888</v>
      </c>
      <c r="LF20" s="446">
        <f t="shared" si="256"/>
        <v>1654582.4328519062</v>
      </c>
      <c r="LG20" s="446">
        <f t="shared" si="256"/>
        <v>1687674.0815089445</v>
      </c>
      <c r="LH20" s="446">
        <f t="shared" si="256"/>
        <v>1721427.5631391234</v>
      </c>
      <c r="LI20" s="446">
        <f t="shared" si="256"/>
        <v>1755856.114401906</v>
      </c>
      <c r="LJ20" s="446">
        <f t="shared" si="256"/>
        <v>1790973.2366899438</v>
      </c>
      <c r="LK20" s="446">
        <f t="shared" si="256"/>
        <v>1826792.701423743</v>
      </c>
      <c r="LL20" s="446">
        <f t="shared" si="256"/>
        <v>1863328.5554522176</v>
      </c>
      <c r="LM20" s="446">
        <f t="shared" si="256"/>
        <v>1900595.1265612622</v>
      </c>
      <c r="LN20" s="446">
        <f t="shared" si="256"/>
        <v>1938607.0290924869</v>
      </c>
      <c r="LO20" s="446">
        <f t="shared" si="256"/>
        <v>1977379.1696743369</v>
      </c>
      <c r="LP20" s="446">
        <f t="shared" si="256"/>
        <v>2016926.7530678238</v>
      </c>
      <c r="LQ20" s="446">
        <f t="shared" si="256"/>
        <v>2057265.2881291802</v>
      </c>
      <c r="LR20" s="446">
        <f t="shared" si="256"/>
        <v>2098410.5938917636</v>
      </c>
      <c r="LS20" s="446">
        <f t="shared" si="256"/>
        <v>2140378.805769599</v>
      </c>
      <c r="LT20" s="446">
        <f t="shared" si="256"/>
        <v>2183186.3818849912</v>
      </c>
      <c r="LU20" s="446">
        <f t="shared" si="256"/>
        <v>2226850.109522691</v>
      </c>
      <c r="LV20" s="446">
        <f t="shared" si="256"/>
        <v>2271387.1117131445</v>
      </c>
      <c r="LW20" s="446">
        <f t="shared" si="256"/>
        <v>2316814.8539474076</v>
      </c>
      <c r="LX20" s="446">
        <f t="shared" si="256"/>
        <v>2363151.1510263556</v>
      </c>
      <c r="LY20" s="446">
        <f t="shared" si="256"/>
        <v>2410414.1740468829</v>
      </c>
      <c r="LZ20" s="446">
        <f t="shared" si="256"/>
        <v>2458622.45752782</v>
      </c>
      <c r="MA20" s="446">
        <f t="shared" si="256"/>
        <v>2507794.9066783772</v>
      </c>
      <c r="MB20" s="446">
        <f t="shared" si="256"/>
        <v>2557950.8048119443</v>
      </c>
      <c r="MC20" s="446">
        <f t="shared" si="256"/>
        <v>2609109.8209081832</v>
      </c>
      <c r="MD20" s="496"/>
      <c r="ME20" s="497">
        <f>IF($E20="Under Agreement",J20,IF($P20="Yes",J20,0))</f>
        <v>0</v>
      </c>
      <c r="MF20" s="497">
        <f>IF($E20="Under Agreement",K20,IF($P20="Yes",K20,0))</f>
        <v>0</v>
      </c>
      <c r="MG20" s="497">
        <f>IF($E20="Under Agreement",L20,IF($P20="Yes",L20,0))</f>
        <v>0</v>
      </c>
      <c r="MH20" s="497">
        <f>IF($E20="Under Agreement",M20,IF($P20="Yes",M20,0))</f>
        <v>0</v>
      </c>
      <c r="MI20" s="497">
        <f>IF($E20="Under Agreement",N20,IF($P20="Yes",N20,0))</f>
        <v>0</v>
      </c>
      <c r="MJ20" s="498">
        <f>IA20</f>
        <v>0</v>
      </c>
      <c r="MK20" s="498">
        <f>IB20</f>
        <v>350</v>
      </c>
      <c r="ML20" s="498">
        <f>IC20</f>
        <v>0</v>
      </c>
      <c r="MM20" s="498">
        <f>ID20</f>
        <v>0</v>
      </c>
      <c r="MN20" s="498">
        <f>IE20</f>
        <v>0</v>
      </c>
      <c r="MO20" s="454"/>
      <c r="MP20" s="448">
        <f>GW20</f>
        <v>99</v>
      </c>
      <c r="MQ20" s="448">
        <f>GX20</f>
        <v>0</v>
      </c>
      <c r="MR20" s="448">
        <f>IF($E20="Under Agreement",J20,IF($P20="Yes",J20,0))</f>
        <v>0</v>
      </c>
      <c r="MS20" s="448">
        <f>IF($E20="Under Agreement",K20,IF($P20="Yes",K20,0))</f>
        <v>0</v>
      </c>
      <c r="MT20" s="448">
        <f>IF($E20="Under Agreement",L20,IF($P20="Yes",L20,0))</f>
        <v>0</v>
      </c>
      <c r="MU20" s="448">
        <f>IF($E20="Under Agreement",M20,IF($P20="Yes",M20,0))</f>
        <v>0</v>
      </c>
      <c r="MV20" s="448">
        <f>IF($E20="Under Agreement",N20,IF($P20="Yes",N20,0))</f>
        <v>0</v>
      </c>
      <c r="MW20" s="450">
        <f>IF(HH20="y",$BF$2,$BF$3)</f>
        <v>328000</v>
      </c>
      <c r="MX20" s="450">
        <f>KG20</f>
        <v>0</v>
      </c>
      <c r="MY20" s="450">
        <f>KH20</f>
        <v>350</v>
      </c>
      <c r="MZ20" s="450">
        <f>KI20</f>
        <v>0</v>
      </c>
      <c r="NA20" s="450">
        <f>KJ20</f>
        <v>0</v>
      </c>
      <c r="NB20" s="450">
        <f>KK20</f>
        <v>0</v>
      </c>
      <c r="NC20" s="451">
        <f>IF($P20="Yes",$IF20,IF($E20="Under Agreement",$IF20,0))</f>
        <v>0</v>
      </c>
      <c r="ND20" s="449">
        <f>((1.17*NC20/0.29)*0.39)-NC20</f>
        <v>0</v>
      </c>
      <c r="NE20" s="449">
        <f>MS20*400*0.01</f>
        <v>0</v>
      </c>
      <c r="NF20" s="449">
        <f>(MQ20*(IF($HQ20="Downtown",$HZ$1,$HZ$2))*12*0.01395)+(MR20*(IF($HQ20="Downtown",$IA$1,$IA$2))*12*0.01395)+(MS20*(IF($HQ20="Downtown",$IB$1,$IB$2))*12*0.01395)+(MT20*(IF($HQ20="Downtown",$IC$1,$IC$2))*12*0.0018)+(MU20*(IF($HQ20="Downtown",$ID$1,$ID$2))*12*0.01395)</f>
        <v>0</v>
      </c>
      <c r="NG20" s="449">
        <f>MT20*$IC$1*12*0.14</f>
        <v>0</v>
      </c>
      <c r="NH20" s="449">
        <f>SUM(NC20:NG20)</f>
        <v>0</v>
      </c>
      <c r="NI20" s="448">
        <f>(MR20/300)+(MS20/500)+(MT20/1.33)+(MU20/1000)</f>
        <v>0</v>
      </c>
      <c r="NJ20" s="451">
        <f>GZ20</f>
        <v>0</v>
      </c>
      <c r="NK20" s="449">
        <f>0.015*NJ20</f>
        <v>0</v>
      </c>
      <c r="NL20" s="448">
        <f>(((MP20+MQ20)*MW20)+(MR20*MX20)+(MS20*MY20)+(MT20*MZ20)+(MU20*NA20))/$IO$1</f>
        <v>162.36000000000001</v>
      </c>
      <c r="NM20" s="452">
        <f>SUM(NQ20:OT20)</f>
        <v>0</v>
      </c>
      <c r="NN20" s="452">
        <f>NPV(5%,NQ20:OT20)</f>
        <v>0</v>
      </c>
      <c r="NO20" s="453">
        <f>KX20</f>
        <v>2022</v>
      </c>
      <c r="NP20" s="423"/>
      <c r="NQ20" s="423"/>
      <c r="NR20" s="423"/>
      <c r="NS20" s="423"/>
      <c r="NT20" s="423"/>
      <c r="NU20" s="454">
        <f t="shared" ref="NU20:OT20" si="257">NU$4*$NH20</f>
        <v>0</v>
      </c>
      <c r="NV20" s="454">
        <f t="shared" si="257"/>
        <v>0</v>
      </c>
      <c r="NW20" s="454">
        <f t="shared" si="257"/>
        <v>0</v>
      </c>
      <c r="NX20" s="454">
        <f t="shared" si="257"/>
        <v>0</v>
      </c>
      <c r="NY20" s="454">
        <f t="shared" si="257"/>
        <v>0</v>
      </c>
      <c r="NZ20" s="454">
        <f t="shared" si="257"/>
        <v>0</v>
      </c>
      <c r="OA20" s="454">
        <f t="shared" si="257"/>
        <v>0</v>
      </c>
      <c r="OB20" s="454">
        <f t="shared" si="257"/>
        <v>0</v>
      </c>
      <c r="OC20" s="454">
        <f t="shared" si="257"/>
        <v>0</v>
      </c>
      <c r="OD20" s="454">
        <f t="shared" si="257"/>
        <v>0</v>
      </c>
      <c r="OE20" s="454">
        <f t="shared" si="257"/>
        <v>0</v>
      </c>
      <c r="OF20" s="454">
        <f t="shared" si="257"/>
        <v>0</v>
      </c>
      <c r="OG20" s="454">
        <f t="shared" si="257"/>
        <v>0</v>
      </c>
      <c r="OH20" s="454">
        <f t="shared" si="257"/>
        <v>0</v>
      </c>
      <c r="OI20" s="454">
        <f t="shared" si="257"/>
        <v>0</v>
      </c>
      <c r="OJ20" s="454">
        <f t="shared" si="257"/>
        <v>0</v>
      </c>
      <c r="OK20" s="454">
        <f t="shared" si="257"/>
        <v>0</v>
      </c>
      <c r="OL20" s="454">
        <f t="shared" si="257"/>
        <v>0</v>
      </c>
      <c r="OM20" s="454">
        <f t="shared" si="257"/>
        <v>0</v>
      </c>
      <c r="ON20" s="454">
        <f t="shared" si="257"/>
        <v>0</v>
      </c>
      <c r="OO20" s="454">
        <f t="shared" si="257"/>
        <v>0</v>
      </c>
      <c r="OP20" s="454">
        <f t="shared" si="257"/>
        <v>0</v>
      </c>
      <c r="OQ20" s="454">
        <f t="shared" si="257"/>
        <v>0</v>
      </c>
      <c r="OR20" s="454">
        <f t="shared" si="257"/>
        <v>0</v>
      </c>
      <c r="OS20" s="454">
        <f t="shared" si="257"/>
        <v>0</v>
      </c>
      <c r="OT20" s="454">
        <f t="shared" si="257"/>
        <v>0</v>
      </c>
    </row>
    <row r="21" spans="1:410" customFormat="1">
      <c r="A21" s="279"/>
      <c r="B21" s="281" t="s">
        <v>418</v>
      </c>
      <c r="C21" s="437"/>
      <c r="D21" s="437"/>
      <c r="E21" s="437"/>
      <c r="F21" s="437"/>
      <c r="G21" s="437"/>
      <c r="H21" s="437"/>
      <c r="I21" s="282">
        <f>SUBTOTAL(9,I20:I20)</f>
        <v>44347</v>
      </c>
      <c r="J21" s="282"/>
      <c r="K21" s="282"/>
      <c r="L21" s="282"/>
      <c r="M21" s="282"/>
      <c r="N21" s="282"/>
      <c r="O21" s="282">
        <f>SUBTOTAL(9,O20:O20)</f>
        <v>15000</v>
      </c>
      <c r="P21" s="283"/>
      <c r="Q21" s="283"/>
      <c r="R21" s="282">
        <f>SUBTOTAL(9,R20:R20)</f>
        <v>492.74444444444447</v>
      </c>
      <c r="S21" s="456"/>
      <c r="T21" s="282">
        <f>SUBTOTAL(9,T20:T20)</f>
        <v>886940</v>
      </c>
      <c r="U21" s="283"/>
      <c r="V21" s="284"/>
      <c r="W21" s="285"/>
      <c r="X21" s="284"/>
      <c r="Y21" s="284"/>
      <c r="Z21" s="284"/>
      <c r="AA21" s="286"/>
      <c r="AB21" s="286"/>
      <c r="AC21" s="286"/>
      <c r="AD21" s="286"/>
      <c r="AE21" s="287"/>
      <c r="AF21" s="281"/>
      <c r="AG21" s="287">
        <f>SUBTOTAL(9,AG20:AG20)</f>
        <v>12195425</v>
      </c>
      <c r="AH21" s="287">
        <f>SUBTOTAL(9,AH20:AH20)</f>
        <v>12195425</v>
      </c>
      <c r="AI21" s="287"/>
      <c r="AJ21" s="288"/>
      <c r="AK21" s="288"/>
      <c r="AL21" s="289">
        <f t="shared" ref="AL21:AM21" si="258">SUBTOTAL(9,AL20:AL20)</f>
        <v>492.74444444444447</v>
      </c>
      <c r="AM21" s="289">
        <f t="shared" si="258"/>
        <v>98.548888888888882</v>
      </c>
      <c r="AN21" s="288"/>
      <c r="AO21" s="287">
        <f t="shared" ref="AO21" si="259">SUBTOTAL(9,AO20:AO20)</f>
        <v>0</v>
      </c>
      <c r="AP21" s="287">
        <f t="shared" ref="AP21" si="260">SUBTOTAL(9,AP20:AP20)</f>
        <v>12195425</v>
      </c>
      <c r="AQ21" s="352"/>
      <c r="AR21" s="290"/>
      <c r="AS21" s="280">
        <f>SUBTOTAL(9,AS20:AS20)</f>
        <v>492</v>
      </c>
      <c r="AT21" s="280">
        <f>SUBTOTAL(9,AT20:AT20)</f>
        <v>0</v>
      </c>
      <c r="AU21" s="280">
        <f>SUBTOTAL(9,AU20:AU20)</f>
        <v>492</v>
      </c>
      <c r="AV21" s="287"/>
      <c r="AW21" s="287"/>
      <c r="AX21" s="293"/>
      <c r="AY21" s="293"/>
      <c r="AZ21" s="287">
        <f>SUBTOTAL(9,AZ20:AZ20)</f>
        <v>10824000</v>
      </c>
      <c r="BA21" s="287">
        <f>SUBTOTAL(9,BA20:BA20)</f>
        <v>10824000</v>
      </c>
      <c r="BB21" s="287">
        <f>SUBTOTAL(9,BB20:BB20)</f>
        <v>23019425</v>
      </c>
      <c r="BC21" s="280">
        <f>SUBTOTAL(9,BC20:BC20)</f>
        <v>86.591999999999999</v>
      </c>
      <c r="BD21" s="280">
        <f>SUBTOTAL(9,BD20:BD20)</f>
        <v>184.15539999999999</v>
      </c>
      <c r="BE21" s="293"/>
      <c r="BF21" s="287">
        <f t="shared" ref="BF21:BM21" si="261">SUBTOTAL(9,BF20:BF20)</f>
        <v>218448000</v>
      </c>
      <c r="BG21" s="287">
        <f t="shared" si="261"/>
        <v>5250000</v>
      </c>
      <c r="BH21" s="287">
        <f t="shared" si="261"/>
        <v>-10922400</v>
      </c>
      <c r="BI21" s="287">
        <f t="shared" si="261"/>
        <v>0</v>
      </c>
      <c r="BJ21" s="287">
        <f t="shared" si="261"/>
        <v>-10922400</v>
      </c>
      <c r="BK21" s="287">
        <f t="shared" si="261"/>
        <v>-10922400</v>
      </c>
      <c r="BL21" s="287">
        <f t="shared" si="261"/>
        <v>0</v>
      </c>
      <c r="BM21" s="287">
        <f t="shared" si="261"/>
        <v>-10922400</v>
      </c>
      <c r="BN21" s="289"/>
      <c r="BO21" s="292">
        <f>SUBTOTAL(9,BO20:BO20)</f>
        <v>0</v>
      </c>
      <c r="BP21" s="289">
        <f>SUM(BP20:BP20)</f>
        <v>492</v>
      </c>
      <c r="BQ21" s="291"/>
      <c r="BR21" s="291"/>
      <c r="BS21" s="292">
        <f>SUBTOTAL(9,BS20:BS20)</f>
        <v>492</v>
      </c>
      <c r="BT21" s="292">
        <f>SUBTOTAL(9,BT20:BT20)</f>
        <v>492</v>
      </c>
      <c r="BU21" s="350"/>
      <c r="BV21" s="293">
        <f t="shared" ref="BV21:CF21" si="262">SUBTOTAL(9,BV20:BV20)</f>
        <v>0</v>
      </c>
      <c r="BW21" s="293">
        <f t="shared" si="262"/>
        <v>492</v>
      </c>
      <c r="BX21" s="287">
        <f t="shared" si="262"/>
        <v>0</v>
      </c>
      <c r="BY21" s="287">
        <f t="shared" si="262"/>
        <v>10824000</v>
      </c>
      <c r="BZ21" s="287">
        <f t="shared" si="262"/>
        <v>10824000</v>
      </c>
      <c r="CA21" s="287">
        <f t="shared" si="262"/>
        <v>12195425</v>
      </c>
      <c r="CB21" s="287">
        <f t="shared" si="262"/>
        <v>0</v>
      </c>
      <c r="CC21" s="287">
        <f t="shared" si="262"/>
        <v>0</v>
      </c>
      <c r="CD21" s="287">
        <f t="shared" si="262"/>
        <v>12195425</v>
      </c>
      <c r="CE21" s="287">
        <f t="shared" si="262"/>
        <v>9756340</v>
      </c>
      <c r="CF21" s="287">
        <f t="shared" si="262"/>
        <v>20580340</v>
      </c>
      <c r="CG21" s="287"/>
      <c r="CH21" s="287">
        <f>SUBTOTAL(9,CH20:CH20)</f>
        <v>20580340</v>
      </c>
      <c r="CI21" s="287"/>
      <c r="CJ21" s="287">
        <f t="shared" ref="CJ21:CR21" si="263">SUBTOTAL(9,CJ20:CJ20)</f>
        <v>218448000</v>
      </c>
      <c r="CK21" s="287">
        <f t="shared" si="263"/>
        <v>5250000</v>
      </c>
      <c r="CL21" s="287">
        <f t="shared" si="263"/>
        <v>0</v>
      </c>
      <c r="CM21" s="287">
        <f t="shared" si="263"/>
        <v>-10922400</v>
      </c>
      <c r="CN21" s="287">
        <f t="shared" si="263"/>
        <v>0</v>
      </c>
      <c r="CO21" s="287">
        <f t="shared" si="263"/>
        <v>-10922400</v>
      </c>
      <c r="CP21" s="287">
        <f t="shared" si="263"/>
        <v>-10922400</v>
      </c>
      <c r="CQ21" s="287">
        <f t="shared" si="263"/>
        <v>0</v>
      </c>
      <c r="CR21" s="287">
        <f t="shared" si="263"/>
        <v>-10922400</v>
      </c>
      <c r="CS21" s="289"/>
      <c r="CT21" s="290"/>
      <c r="CU21" s="289">
        <f>SUBTOTAL(9,CU20:CU20)</f>
        <v>98</v>
      </c>
      <c r="CV21" s="291"/>
      <c r="CW21" s="291"/>
      <c r="CX21" s="292">
        <f>SUBTOTAL(9,CX20:CX20)</f>
        <v>98.548888888888882</v>
      </c>
      <c r="CY21" s="292">
        <f>SUBTOTAL(9,CY20:CY20)</f>
        <v>99</v>
      </c>
      <c r="CZ21" s="348"/>
      <c r="DA21" s="293">
        <f t="shared" ref="DA21:DR21" si="264">SUBTOTAL(9,DA20:DA20)</f>
        <v>99</v>
      </c>
      <c r="DB21" s="293">
        <f t="shared" si="264"/>
        <v>0</v>
      </c>
      <c r="DC21" s="287">
        <f t="shared" si="264"/>
        <v>0</v>
      </c>
      <c r="DD21" s="287">
        <f t="shared" si="264"/>
        <v>0</v>
      </c>
      <c r="DE21" s="287">
        <f t="shared" si="264"/>
        <v>0</v>
      </c>
      <c r="DF21" s="287">
        <f t="shared" si="264"/>
        <v>0</v>
      </c>
      <c r="DG21" s="287">
        <f t="shared" si="264"/>
        <v>10073448</v>
      </c>
      <c r="DH21" s="287">
        <f t="shared" ref="DH21" si="265">SUBTOTAL(9,DH20:DH20)</f>
        <v>0</v>
      </c>
      <c r="DI21" s="287"/>
      <c r="DJ21" s="287">
        <f t="shared" si="264"/>
        <v>0</v>
      </c>
      <c r="DK21" s="287">
        <f t="shared" ref="DK21" si="266">SUBTOTAL(9,DK20:DK20)</f>
        <v>0</v>
      </c>
      <c r="DL21" s="287">
        <f>SUBTOTAL(9,DL20:DL20)</f>
        <v>-1623600</v>
      </c>
      <c r="DM21" s="287">
        <f>SUBTOTAL(9,DM20:DM20)</f>
        <v>0</v>
      </c>
      <c r="DN21" s="287">
        <f t="shared" si="264"/>
        <v>0</v>
      </c>
      <c r="DO21" s="287">
        <f t="shared" si="264"/>
        <v>0</v>
      </c>
      <c r="DP21" s="287">
        <f t="shared" si="264"/>
        <v>0</v>
      </c>
      <c r="DQ21" s="287">
        <f t="shared" si="264"/>
        <v>-11697048</v>
      </c>
      <c r="DR21" s="287">
        <f t="shared" si="264"/>
        <v>-11697048</v>
      </c>
      <c r="DS21" s="287"/>
      <c r="DT21" s="287">
        <f t="shared" ref="DT21:DZ21" si="267">SUBTOTAL(9,DT20:DT20)</f>
        <v>32472000</v>
      </c>
      <c r="DU21" s="287">
        <f t="shared" si="267"/>
        <v>0</v>
      </c>
      <c r="DV21" s="287">
        <f t="shared" si="267"/>
        <v>-1623600</v>
      </c>
      <c r="DW21" s="287">
        <f t="shared" si="267"/>
        <v>0</v>
      </c>
      <c r="DX21" s="287">
        <f t="shared" si="267"/>
        <v>0</v>
      </c>
      <c r="DY21" s="287">
        <f t="shared" si="267"/>
        <v>0</v>
      </c>
      <c r="DZ21" s="287">
        <f t="shared" si="267"/>
        <v>0</v>
      </c>
      <c r="EA21" s="289"/>
      <c r="EB21" s="290"/>
      <c r="EC21" s="289">
        <f>SUBTOTAL(9,EC20:EC20)</f>
        <v>98</v>
      </c>
      <c r="ED21" s="291"/>
      <c r="EE21" s="291"/>
      <c r="EF21" s="292">
        <f>SUBTOTAL(9,EF20:EF20)</f>
        <v>98.548888888888882</v>
      </c>
      <c r="EG21" s="292">
        <f>SUBTOTAL(9,EG20:EG20)</f>
        <v>99</v>
      </c>
      <c r="EH21" s="348"/>
      <c r="EI21" s="293">
        <f t="shared" ref="EI21:EP21" si="268">SUBTOTAL(9,EI20:EI20)</f>
        <v>99</v>
      </c>
      <c r="EJ21" s="293">
        <f t="shared" si="268"/>
        <v>0</v>
      </c>
      <c r="EK21" s="287">
        <f t="shared" si="268"/>
        <v>0</v>
      </c>
      <c r="EL21" s="287">
        <f t="shared" si="268"/>
        <v>0</v>
      </c>
      <c r="EM21" s="287">
        <f t="shared" si="268"/>
        <v>0</v>
      </c>
      <c r="EN21" s="287">
        <f t="shared" si="268"/>
        <v>0</v>
      </c>
      <c r="EO21" s="287">
        <f t="shared" si="268"/>
        <v>10073448</v>
      </c>
      <c r="EP21" s="287">
        <f t="shared" si="268"/>
        <v>0</v>
      </c>
      <c r="EQ21" s="287"/>
      <c r="ER21" s="287">
        <f t="shared" ref="ER21:ES21" si="269">SUBTOTAL(9,ER20:ER20)</f>
        <v>0</v>
      </c>
      <c r="ES21" s="287">
        <f t="shared" si="269"/>
        <v>0</v>
      </c>
      <c r="ET21" s="287">
        <f>SUBTOTAL(9,ET20:ET20)</f>
        <v>-1623600</v>
      </c>
      <c r="EU21" s="287">
        <f>SUBTOTAL(9,EU20:EU20)</f>
        <v>0</v>
      </c>
      <c r="EV21" s="287">
        <f t="shared" ref="EV21:EZ21" si="270">SUBTOTAL(9,EV20:EV20)</f>
        <v>0</v>
      </c>
      <c r="EW21" s="287">
        <f t="shared" si="270"/>
        <v>0</v>
      </c>
      <c r="EX21" s="287">
        <f t="shared" si="270"/>
        <v>0</v>
      </c>
      <c r="EY21" s="287">
        <f t="shared" si="270"/>
        <v>-11697048</v>
      </c>
      <c r="EZ21" s="287">
        <f t="shared" si="270"/>
        <v>-11697048</v>
      </c>
      <c r="FA21" s="287"/>
      <c r="FB21" s="287">
        <f t="shared" ref="FB21:FH21" si="271">SUBTOTAL(9,FB20:FB20)</f>
        <v>32472000</v>
      </c>
      <c r="FC21" s="287">
        <f t="shared" si="271"/>
        <v>0</v>
      </c>
      <c r="FD21" s="287">
        <f t="shared" si="271"/>
        <v>-1623600</v>
      </c>
      <c r="FE21" s="287">
        <f t="shared" si="271"/>
        <v>0</v>
      </c>
      <c r="FF21" s="287">
        <f t="shared" si="271"/>
        <v>0</v>
      </c>
      <c r="FG21" s="287">
        <f t="shared" si="271"/>
        <v>0</v>
      </c>
      <c r="FH21" s="287">
        <f t="shared" si="271"/>
        <v>0</v>
      </c>
      <c r="FI21" s="289"/>
      <c r="FJ21" s="290"/>
      <c r="FK21" s="290"/>
      <c r="FL21" s="289">
        <f>SUBTOTAL(9,FL20:FL20)</f>
        <v>98</v>
      </c>
      <c r="FM21" s="291"/>
      <c r="FN21" s="291"/>
      <c r="FO21" s="292">
        <f>SUBTOTAL(9,FO20:FO20)</f>
        <v>98.548888888888882</v>
      </c>
      <c r="FP21" s="292">
        <f>SUBTOTAL(9,FP20:FP20)</f>
        <v>99</v>
      </c>
      <c r="FQ21" s="348"/>
      <c r="FR21" s="293">
        <f t="shared" ref="FR21:GD21" si="272">SUBTOTAL(9,FR20:FR20)</f>
        <v>15</v>
      </c>
      <c r="FS21" s="293">
        <f t="shared" si="272"/>
        <v>84</v>
      </c>
      <c r="FT21" s="287">
        <f t="shared" si="272"/>
        <v>0</v>
      </c>
      <c r="FU21" s="287">
        <f t="shared" si="272"/>
        <v>0</v>
      </c>
      <c r="FV21" s="287">
        <f t="shared" si="272"/>
        <v>0</v>
      </c>
      <c r="FW21" s="287">
        <f t="shared" si="272"/>
        <v>12195425</v>
      </c>
      <c r="FX21" s="287">
        <f t="shared" si="272"/>
        <v>3368495.9999999995</v>
      </c>
      <c r="FY21" s="287">
        <f t="shared" si="272"/>
        <v>0</v>
      </c>
      <c r="FZ21" s="287">
        <f t="shared" si="272"/>
        <v>8826929</v>
      </c>
      <c r="GA21" s="287">
        <f t="shared" si="272"/>
        <v>0</v>
      </c>
      <c r="GB21" s="287">
        <f t="shared" si="272"/>
        <v>0</v>
      </c>
      <c r="GC21" s="287">
        <f t="shared" si="272"/>
        <v>0</v>
      </c>
      <c r="GD21" s="287">
        <f t="shared" si="272"/>
        <v>0</v>
      </c>
      <c r="GE21" s="287"/>
      <c r="GF21" s="287">
        <f t="shared" ref="GF21:GN21" si="273">SUBTOTAL(9,GF20:GF20)</f>
        <v>32472000</v>
      </c>
      <c r="GG21" s="287">
        <f t="shared" si="273"/>
        <v>0</v>
      </c>
      <c r="GH21" s="287">
        <f t="shared" si="273"/>
        <v>-1623600</v>
      </c>
      <c r="GI21" s="287">
        <f t="shared" si="273"/>
        <v>0</v>
      </c>
      <c r="GJ21" s="287">
        <f t="shared" si="273"/>
        <v>0</v>
      </c>
      <c r="GK21" s="287">
        <f t="shared" si="273"/>
        <v>-1623600</v>
      </c>
      <c r="GL21" s="287">
        <f t="shared" si="273"/>
        <v>-1623600</v>
      </c>
      <c r="GM21" s="287">
        <f t="shared" si="273"/>
        <v>0</v>
      </c>
      <c r="GN21" s="287">
        <f t="shared" si="273"/>
        <v>-1623600</v>
      </c>
      <c r="GO21" s="289"/>
      <c r="GP21" s="290"/>
      <c r="GQ21" s="289">
        <f>SUBTOTAL(9,GQ20:GQ20)</f>
        <v>98</v>
      </c>
      <c r="GR21" s="291"/>
      <c r="GS21" s="291"/>
      <c r="GT21" s="292">
        <f>SUBTOTAL(9,GT20:GT20)</f>
        <v>98.548888888888882</v>
      </c>
      <c r="GU21" s="292">
        <f>SUBTOTAL(9,GU20:GU20)</f>
        <v>99</v>
      </c>
      <c r="GV21" s="348"/>
      <c r="GW21" s="293">
        <f t="shared" ref="GW21:HG21" si="274">SUBTOTAL(9,GW20:GW20)</f>
        <v>99</v>
      </c>
      <c r="GX21" s="293">
        <f t="shared" si="274"/>
        <v>0</v>
      </c>
      <c r="GY21" s="294">
        <f t="shared" si="274"/>
        <v>0</v>
      </c>
      <c r="GZ21" s="287">
        <f t="shared" si="274"/>
        <v>0</v>
      </c>
      <c r="HA21" s="287">
        <f>SUBTOTAL(9,HA20:HA20)</f>
        <v>-1623600</v>
      </c>
      <c r="HB21" s="287">
        <f>SUBTOTAL(9,HB20:HB20)</f>
        <v>0</v>
      </c>
      <c r="HC21" s="287">
        <f t="shared" si="274"/>
        <v>0</v>
      </c>
      <c r="HD21" s="287">
        <f t="shared" si="274"/>
        <v>0</v>
      </c>
      <c r="HE21" s="287">
        <f t="shared" si="274"/>
        <v>0</v>
      </c>
      <c r="HF21" s="287">
        <f t="shared" si="274"/>
        <v>-11697048</v>
      </c>
      <c r="HG21" s="287">
        <f t="shared" si="274"/>
        <v>-11697048</v>
      </c>
      <c r="HH21" s="353"/>
      <c r="HI21" s="287">
        <f t="shared" ref="HI21:HO21" si="275">SUBTOTAL(9,HI20:HI20)</f>
        <v>32472000</v>
      </c>
      <c r="HJ21" s="287">
        <f t="shared" si="275"/>
        <v>5250000</v>
      </c>
      <c r="HK21" s="287">
        <f t="shared" si="275"/>
        <v>-1623600</v>
      </c>
      <c r="HL21" s="287">
        <f t="shared" si="275"/>
        <v>0</v>
      </c>
      <c r="HM21" s="287">
        <f t="shared" si="275"/>
        <v>0</v>
      </c>
      <c r="HN21" s="287">
        <f t="shared" si="275"/>
        <v>0</v>
      </c>
      <c r="HO21" s="287">
        <f t="shared" si="275"/>
        <v>0</v>
      </c>
    </row>
    <row r="22" spans="1:410" s="11" customFormat="1" ht="30">
      <c r="A22" s="19" t="s">
        <v>427</v>
      </c>
      <c r="B22" s="19" t="s">
        <v>339</v>
      </c>
      <c r="C22" s="19" t="s">
        <v>481</v>
      </c>
      <c r="D22" s="19">
        <v>1</v>
      </c>
      <c r="E22" s="19" t="s">
        <v>293</v>
      </c>
      <c r="F22" s="19" t="s">
        <v>279</v>
      </c>
      <c r="G22" s="23" t="s">
        <v>53</v>
      </c>
      <c r="H22" s="23"/>
      <c r="I22" s="442">
        <v>29000</v>
      </c>
      <c r="J22" s="20">
        <f>26080*5</f>
        <v>130400</v>
      </c>
      <c r="K22" s="20">
        <v>20000</v>
      </c>
      <c r="L22" s="20"/>
      <c r="M22" s="20"/>
      <c r="N22" s="20"/>
      <c r="O22" s="442">
        <f>SUM(J22:N22)</f>
        <v>150400</v>
      </c>
      <c r="P22" s="21"/>
      <c r="Q22" s="21" t="s">
        <v>41</v>
      </c>
      <c r="R22" s="27">
        <f>I22/AJ22</f>
        <v>322.22222222222223</v>
      </c>
      <c r="S22" s="27">
        <v>20</v>
      </c>
      <c r="T22" s="27">
        <f>I22*S22</f>
        <v>580000</v>
      </c>
      <c r="U22" s="21"/>
      <c r="V22" s="19" t="s">
        <v>52</v>
      </c>
      <c r="W22" s="22" t="s">
        <v>26</v>
      </c>
      <c r="X22" s="19" t="s">
        <v>37</v>
      </c>
      <c r="Y22" s="19"/>
      <c r="Z22" s="19" t="s">
        <v>3</v>
      </c>
      <c r="AA22" s="219" t="s">
        <v>85</v>
      </c>
      <c r="AB22" s="219" t="s">
        <v>83</v>
      </c>
      <c r="AC22" s="224">
        <v>275</v>
      </c>
      <c r="AD22" s="224">
        <f>AC22*I22</f>
        <v>7975000</v>
      </c>
      <c r="AE22" s="24">
        <f>AD22 - (5*29000*10)</f>
        <v>6525000</v>
      </c>
      <c r="AF22" s="273" t="s">
        <v>237</v>
      </c>
      <c r="AG22" s="220">
        <f>IF(ISBLANK(AE22),AD22,AE22)</f>
        <v>6525000</v>
      </c>
      <c r="AH22" s="223">
        <f>AD22</f>
        <v>7975000</v>
      </c>
      <c r="AI22" s="24" t="s">
        <v>252</v>
      </c>
      <c r="AJ22" s="228">
        <f>VLOOKUP($Q22,'Zoning Density'!$A$1:$E$28,3,)</f>
        <v>90</v>
      </c>
      <c r="AK22" s="228">
        <f>IF(AJ22=0,0,(IF(AJ22&gt;$AK$3,AJ22,$AK$3)))</f>
        <v>450</v>
      </c>
      <c r="AL22" s="229">
        <f>IF(AJ22&gt;0,I22/AJ22,0)</f>
        <v>322.22222222222223</v>
      </c>
      <c r="AM22" s="229">
        <f>IF(AK22&gt;0,I22/$AK22,0)</f>
        <v>64.444444444444443</v>
      </c>
      <c r="AN22" s="228">
        <v>1</v>
      </c>
      <c r="AO22" s="221">
        <f>VLOOKUP($AI22,Funding!$A$1:$G$6,3,FALSE)*$AG22</f>
        <v>0</v>
      </c>
      <c r="AP22" s="221">
        <f>VLOOKUP($AI22,Funding!$A$1:$G$6,4,FALSE)*$AG22</f>
        <v>6525000</v>
      </c>
      <c r="AQ22" s="351"/>
      <c r="AR22" s="274"/>
      <c r="AS22" s="222">
        <f>IF(ISBLANK(AQ22),ROUNDDOWN($AM22,0),ROUNDDOWN(AQ22,0))</f>
        <v>64</v>
      </c>
      <c r="AT22" s="222"/>
      <c r="AU22" s="222">
        <f>AS22-AT22</f>
        <v>64</v>
      </c>
      <c r="AV22" s="221">
        <f>VLOOKUP($AN22,'Impact Fee'!$A$1:$E$20,5,FALSE)*AU22</f>
        <v>1408000</v>
      </c>
      <c r="AW22" s="221">
        <f>IF(P22="yes",IF((J22+M22)&gt;25000,(J22+M22-25000)*6,0),0)</f>
        <v>0</v>
      </c>
      <c r="AX22" s="221"/>
      <c r="AY22" s="321"/>
      <c r="AZ22" s="221">
        <f>IF(ISBLANK(AX22),AV22+AW22,AX22)</f>
        <v>1408000</v>
      </c>
      <c r="BA22" s="221">
        <f>AO22+AZ22</f>
        <v>1408000</v>
      </c>
      <c r="BB22" s="221">
        <f>AP22+AZ22</f>
        <v>7933000</v>
      </c>
      <c r="BC22" s="271">
        <f t="shared" ref="BC22:BC26" si="276">BA22/$BD$3</f>
        <v>11.263999999999999</v>
      </c>
      <c r="BD22" s="271">
        <f t="shared" ref="BD22:BD26" si="277">BB22/$BD$3</f>
        <v>63.463999999999999</v>
      </c>
      <c r="BE22" s="271"/>
      <c r="BF22" s="221">
        <f>IF(BE22="y",AS22*$BF$2,AS22*$BF$3)</f>
        <v>20992000</v>
      </c>
      <c r="BG22" s="221">
        <f>($HU22*$IA22)+($HV22*$IB22)+($HX22*$ID22)+($HY22*$IE22)</f>
        <v>0</v>
      </c>
      <c r="BH22" s="221">
        <f>IF(AU22&gt;79,-$BJ$2*BF22,0)</f>
        <v>0</v>
      </c>
      <c r="BI22" s="221">
        <f>IF(BG22&gt;$BI$3,-$BJ$2*BG22,0)</f>
        <v>0</v>
      </c>
      <c r="BJ22" s="221">
        <f>BH22+BI22</f>
        <v>0</v>
      </c>
      <c r="BK22" s="221">
        <f>IF(AU22&gt;79,-$BM$2*BF22,0)</f>
        <v>0</v>
      </c>
      <c r="BL22" s="221">
        <f>IF(BG22&gt;$BL$3,-$BM$2*BG22,0)</f>
        <v>0</v>
      </c>
      <c r="BM22" s="221">
        <f>BK22+BL22</f>
        <v>0</v>
      </c>
      <c r="BN22" s="259">
        <v>0</v>
      </c>
      <c r="BO22" s="260"/>
      <c r="BP22" s="259">
        <f>IF(ISBLANK(BN22),ROUNDDOWN(AS22,0),ROUNDDOWN(BN22,0))</f>
        <v>0</v>
      </c>
      <c r="BQ22" s="261">
        <v>0</v>
      </c>
      <c r="BR22" s="261">
        <f>IF(BQ22&gt;0.2,0.35,VLOOKUP(BQ22,'Density Bonus'!$A$1:$B$15,2,FALSE))</f>
        <v>0</v>
      </c>
      <c r="BS22" s="262">
        <f>IF($I22/$AK$3&gt;((1+BR22)*BP22),(1+BR22)*BP22,IF(BP22&gt;($I22/$AK$3),BP22,($I22/$AK$3)))</f>
        <v>0</v>
      </c>
      <c r="BT22" s="262">
        <f>IF(BR22&gt;0,ROUNDUP(BS22,0),ROUNDDOWN(BS22,0))</f>
        <v>0</v>
      </c>
      <c r="BU22" s="349"/>
      <c r="BV22" s="263">
        <f>BQ22*BT22</f>
        <v>0</v>
      </c>
      <c r="BW22" s="263">
        <f>BT22-BV22</f>
        <v>0</v>
      </c>
      <c r="BX22" s="264">
        <f>IF(F22="Commercial",IF((J22+M22)&gt;25000,(J22+M22-25000)*6,0),0)</f>
        <v>632400</v>
      </c>
      <c r="BY22" s="264">
        <f>IF(BQ22&lt;0.15,(VLOOKUP($AN22,'Impact Fee'!$A$1:$E$10,5,FALSE)*BW22),0)</f>
        <v>0</v>
      </c>
      <c r="BZ22" s="264">
        <f>BX22+BY22</f>
        <v>632400</v>
      </c>
      <c r="CA22" s="264">
        <f>IF(BQ22&lt;1,IF(BY22&gt;0,$AG22+($AZ22-BZ22),$AG22),0)</f>
        <v>6525000</v>
      </c>
      <c r="CB22" s="264">
        <f>IF(BQ22&lt;0.15,BW22*IF(CI22="y",$CC$2,$CC$3),0)</f>
        <v>0</v>
      </c>
      <c r="CC22" s="264">
        <f>IF(CB22&gt;CA22,CA22,CB22)</f>
        <v>0</v>
      </c>
      <c r="CD22" s="264">
        <f>IF(BQ22&lt;1,$AG22,0)</f>
        <v>6525000</v>
      </c>
      <c r="CE22" s="264">
        <f>CD22*IF(F22="Commercial",CE$3,VLOOKUP($AI22,Funding!$A$1:$G$6,5,FALSE))</f>
        <v>2610000</v>
      </c>
      <c r="CF22" s="264">
        <f>SUM(BZ22,CC22,CE22)</f>
        <v>3242400</v>
      </c>
      <c r="CG22" s="264">
        <f>BV22*$CG$3</f>
        <v>0</v>
      </c>
      <c r="CH22" s="264">
        <f>CF22+CG22</f>
        <v>3242400</v>
      </c>
      <c r="CI22" s="264"/>
      <c r="CJ22" s="264">
        <f>IF(CI22="y",BT22*$BF$2,BT22*$BF$3)</f>
        <v>0</v>
      </c>
      <c r="CK22" s="264">
        <f>($KA22*$KG22)+($KB22*$KH22)+($KD22*$KJ22)+($KE22*$KK22)</f>
        <v>40608000</v>
      </c>
      <c r="CL22" s="264">
        <f>IF(BT22&gt;79,IF(BQ22&gt;0,-$BJ$2*CJ22,0),0)</f>
        <v>0</v>
      </c>
      <c r="CM22" s="264">
        <f>IF(BT22&gt;79,IF(BQ22=0,-$BJ$2*CJ22,0),0)</f>
        <v>0</v>
      </c>
      <c r="CN22" s="264">
        <f>IF(CK22&gt;$CN$3,-$BJ$2*CK22,0)</f>
        <v>-2030400</v>
      </c>
      <c r="CO22" s="264">
        <v>0</v>
      </c>
      <c r="CP22" s="264">
        <f>IF(BT22&gt;79,-$BM$2*CJ22*(1-BQ22),0)</f>
        <v>0</v>
      </c>
      <c r="CQ22" s="264">
        <v>0</v>
      </c>
      <c r="CR22" s="264">
        <f>CP22+CQ22</f>
        <v>0</v>
      </c>
      <c r="CS22" s="520"/>
      <c r="CT22" s="521"/>
      <c r="CU22" s="520">
        <f>IF(ISBLANK(CS22),ROUNDDOWN($AS22,0),ROUNDDOWN(CS22,0))</f>
        <v>64</v>
      </c>
      <c r="CV22" s="522">
        <v>0.15</v>
      </c>
      <c r="CW22" s="522">
        <f>IF(CV22&gt;0.2,0.35,VLOOKUP(CV22,'Density Bonus'!$A$1:$B$15,2,FALSE))</f>
        <v>0.27500000000000002</v>
      </c>
      <c r="CX22" s="523">
        <f>IF($I22/$AK$3&gt;((1+CW22)*CU22),(1+CW22)*CU22,IF(CU22&gt;($I22/$AK$3),CU22,($I22/$AK$3)))</f>
        <v>64.444444444444443</v>
      </c>
      <c r="CY22" s="523">
        <f>IF(CW22&gt;0,ROUNDUP(CX22,0),ROUNDDOWN(CX22,0))</f>
        <v>65</v>
      </c>
      <c r="CZ22" s="347"/>
      <c r="DA22" s="524">
        <f>IF(ISBLANK($AT22),ROUND(CV22*CY22,0),$AT22)</f>
        <v>10</v>
      </c>
      <c r="DB22" s="524">
        <f>CY22-DA22</f>
        <v>55</v>
      </c>
      <c r="DC22" s="525">
        <f>IF($P22="Yes",$AZ22,IF($E22="Under Agreement",$AZ22,0))</f>
        <v>0</v>
      </c>
      <c r="DD22" s="525">
        <f>IF(CV22&lt;0.4,VLOOKUP($AN22,'Impact Fee'!$A$1:$E$10,5,FALSE)*DB22,0)</f>
        <v>1210000</v>
      </c>
      <c r="DE22" s="525">
        <f>IF(CV22&lt;1,DC22+DD22,0)</f>
        <v>1210000</v>
      </c>
      <c r="DF22" s="525">
        <f>IF(CV22&lt;1,$AG22+DD22,0)</f>
        <v>7735000</v>
      </c>
      <c r="DG22" s="525">
        <f>IF(CV22&lt;1,IF(DS22="y",DA22*$DG$2,DA22*$DG$3),DA22*$HF$3)</f>
        <v>2245663.9999999995</v>
      </c>
      <c r="DH22" s="525">
        <f>IF(CV22&lt;0.4,(0.4-CV22)*CY22*$DH$3,0)</f>
        <v>1653470</v>
      </c>
      <c r="DI22" s="525">
        <f>DF22-(DG22-DL22-DM22)</f>
        <v>5489336</v>
      </c>
      <c r="DJ22" s="525">
        <f>IF(DI22&gt;0,IF(DH22&gt;DI22,DI22,DH22),0)</f>
        <v>1653470</v>
      </c>
      <c r="DK22" s="525">
        <f>IF(CV22&lt;1,IF((DF22-(DG22+DJ22))&gt;0,DF22-(DG22+DJ22),0),0)</f>
        <v>3835866.0000000005</v>
      </c>
      <c r="DL22" s="525">
        <f>SUM(DV22:DX22)</f>
        <v>0</v>
      </c>
      <c r="DM22" s="525">
        <f>DY22+DZ22</f>
        <v>0</v>
      </c>
      <c r="DN22" s="525">
        <f>IF(CV22&lt;1,IF((DF22-(DG22+DJ22-DL22-DM22))&gt;0,DF22-(DG22+DJ22-DL22-DM22),0),0)</f>
        <v>3835866.0000000005</v>
      </c>
      <c r="DO22" s="525">
        <f>VLOOKUP($AI22,Funding!$A$1:$G$6,6,FALSE)*DN22</f>
        <v>3835866.0000000005</v>
      </c>
      <c r="DP22" s="525">
        <f>SUM(DC22,DJ22,DO22)</f>
        <v>5489336</v>
      </c>
      <c r="DQ22" s="525">
        <f>IF((DF22-(DG22+DJ22-DL22-DM22))&lt;0,DF22-(DG22+DJ22-DL22-DM22),0)</f>
        <v>0</v>
      </c>
      <c r="DR22" s="525">
        <f>DP22+DQ22</f>
        <v>5489336</v>
      </c>
      <c r="DS22" s="525"/>
      <c r="DT22" s="525">
        <f>IF(DS22="y",CY22*$BF$2,CY22*$BF$3)</f>
        <v>21320000</v>
      </c>
      <c r="DU22" s="525">
        <f>($ME22*$MJ22)+($MF22*$MK22)+($MH22*$MM22)+($MI22*$MN22)</f>
        <v>0</v>
      </c>
      <c r="DV22" s="525">
        <f>IF(CY22&gt;79,IF(CV22&gt;0,-$BJ$2*DT22,0),0)</f>
        <v>0</v>
      </c>
      <c r="DW22" s="525">
        <f>IF(CY22&gt;79,IF(CV22=0,-$BJ$2*DT22,0),0)</f>
        <v>0</v>
      </c>
      <c r="DX22" s="525">
        <f>IF(DU22&gt;$DX$3,-$BJ$2*DU22,0)</f>
        <v>0</v>
      </c>
      <c r="DY22" s="525">
        <f>IF(CY22&gt;79,IF(CV22=1,0,-$BM$2*DT22),0)</f>
        <v>0</v>
      </c>
      <c r="DZ22" s="525">
        <f>IF(DU22&gt;$DZ$3,-$BM$2*DU22,0)</f>
        <v>0</v>
      </c>
      <c r="EA22" s="819"/>
      <c r="EB22" s="820"/>
      <c r="EC22" s="819">
        <f>IF(ISBLANK(EA22),ROUNDDOWN($AS22,0),ROUNDDOWN(EA22,0))</f>
        <v>64</v>
      </c>
      <c r="ED22" s="821">
        <v>0.15</v>
      </c>
      <c r="EE22" s="821">
        <f>IF(ED22&gt;0.2,0.35,VLOOKUP(ED22,'Density Bonus'!$A$1:$B$15,2,FALSE))</f>
        <v>0.27500000000000002</v>
      </c>
      <c r="EF22" s="822">
        <f>IF($I22/$AK$3&gt;((1+EE22)*EC22),(1+EE22)*EC22,IF(EC22&gt;($I22/$AK$3),EC22,($I22/$AK$3)))</f>
        <v>64.444444444444443</v>
      </c>
      <c r="EG22" s="822">
        <f>IF(EE22&gt;0,ROUNDUP(EF22,0),ROUNDDOWN(EF22,0))</f>
        <v>65</v>
      </c>
      <c r="EH22" s="823"/>
      <c r="EI22" s="824">
        <f>IF(ISBLANK($AT22),ROUND(ED22*EG22,0),$AT22)</f>
        <v>10</v>
      </c>
      <c r="EJ22" s="824">
        <f>EG22-EI22</f>
        <v>55</v>
      </c>
      <c r="EK22" s="825">
        <f>IF($P22="Yes",$AZ22,IF($E22="Under Agreement",$AZ22,0))</f>
        <v>0</v>
      </c>
      <c r="EL22" s="825">
        <f>IF(ED22&lt;0.4,VLOOKUP($AN22,'Impact Fee'!$A$1:$E$10,5,FALSE)*EJ22,0)</f>
        <v>1210000</v>
      </c>
      <c r="EM22" s="825">
        <f>IF(ED22&lt;1,EK22+EL22,0)</f>
        <v>1210000</v>
      </c>
      <c r="EN22" s="825">
        <f>IF(ED22&lt;1,$AG22+EL22,0)</f>
        <v>7735000</v>
      </c>
      <c r="EO22" s="825">
        <f>IF(ED22&lt;1,IF(FA22="y",EI22*$DG$2,EI22*$DG$3),EI22*$HF$3)</f>
        <v>2245663.9999999995</v>
      </c>
      <c r="EP22" s="825">
        <f>IF(ED22&lt;0.4,(0.4-ED22)*EG22*$DH$3,0)</f>
        <v>1653470</v>
      </c>
      <c r="EQ22" s="825">
        <f>EN22-(EO22-ET22-EU22)</f>
        <v>5489336</v>
      </c>
      <c r="ER22" s="825">
        <f>IF(EQ22&gt;0,IF(EP22&gt;EQ22,EQ22,EP22),0)</f>
        <v>1653470</v>
      </c>
      <c r="ES22" s="825">
        <f>IF(ED22&lt;1,IF((EN22-(EO22+ER22))&gt;0,EN22-(EO22+ER22),0),0)</f>
        <v>3835866.0000000005</v>
      </c>
      <c r="ET22" s="825">
        <f>SUM(FD22:FF22)</f>
        <v>0</v>
      </c>
      <c r="EU22" s="825">
        <f>FG22+FH22</f>
        <v>0</v>
      </c>
      <c r="EV22" s="825">
        <f>IF(ED22&lt;1,IF((EN22-(EO22+ER22-ET22-EU22))&gt;0,EN22-(EO22+ER22-ET22-EU22),0),0)</f>
        <v>3835866.0000000005</v>
      </c>
      <c r="EW22" s="825">
        <f>VLOOKUP($AI22,Funding!$A$1:$G$6,6,FALSE)*EV22</f>
        <v>3835866.0000000005</v>
      </c>
      <c r="EX22" s="825">
        <f>SUM(EK22,ER22,EW22)</f>
        <v>5489336</v>
      </c>
      <c r="EY22" s="825">
        <f>IF((EN22-(EO22+ER22-ET22-EU22))&lt;0,EN22-(EO22+ER22-ET22-EU22),0)</f>
        <v>0</v>
      </c>
      <c r="EZ22" s="825">
        <f>EX22+EY22</f>
        <v>5489336</v>
      </c>
      <c r="FA22" s="825"/>
      <c r="FB22" s="825">
        <f>IF(FA22="y",EG22*$BF$2,EG22*$BF$3)</f>
        <v>21320000</v>
      </c>
      <c r="FC22" s="825">
        <f>($ME22*$MJ22)+($MF22*$MK22)+($MH22*$MM22)+($MI22*$MN22)</f>
        <v>0</v>
      </c>
      <c r="FD22" s="825">
        <f>IF(EG22&gt;79,IF(ED22&gt;0,-$BJ$2*FB22,0),0)</f>
        <v>0</v>
      </c>
      <c r="FE22" s="825">
        <f>IF(EG22&gt;79,IF(ED22=0,-$BJ$2*FB22,0),0)</f>
        <v>0</v>
      </c>
      <c r="FF22" s="825">
        <f>IF(FC22&gt;$DX$3,-$BJ$2*FC22,0)</f>
        <v>0</v>
      </c>
      <c r="FG22" s="825">
        <f>IF(EG22&gt;79,IF(ED22=1,0,-$BM$2*FB22),0)</f>
        <v>0</v>
      </c>
      <c r="FH22" s="825">
        <f>IF(FC22&gt;$DZ$3,-$BM$2*FC22,0)</f>
        <v>0</v>
      </c>
      <c r="FI22" s="545"/>
      <c r="FJ22" s="546"/>
      <c r="FK22" s="546"/>
      <c r="FL22" s="545">
        <f>IF(ISBLANK(FI22),ROUNDDOWN($AS22,0),ROUNDDOWN(FI22,0))</f>
        <v>64</v>
      </c>
      <c r="FM22" s="547">
        <v>0.15</v>
      </c>
      <c r="FN22" s="547">
        <f>IF(FM22&gt;0.2,0.35,VLOOKUP(FM22,'Density Bonus'!$A$1:$B$15,2,FALSE))</f>
        <v>0.27500000000000002</v>
      </c>
      <c r="FO22" s="548">
        <f>IF($I22/$AK$3&gt;((1+FN22)*FL22),(1+FN22)*FL22,IF(FL22&gt;($I22/$AK$3),FL22,($I22/$AK$3)))</f>
        <v>64.444444444444443</v>
      </c>
      <c r="FP22" s="548">
        <f>IF(FN22&gt;0,ROUNDUP(FO22,0),ROUNDDOWN(FO22,0))</f>
        <v>65</v>
      </c>
      <c r="FQ22" s="347"/>
      <c r="FR22" s="549">
        <f>IF(ISBLANK($AT22),ROUND(FM22*FP22,0),$AT22)</f>
        <v>10</v>
      </c>
      <c r="FS22" s="549">
        <f>FP22-FR22</f>
        <v>55</v>
      </c>
      <c r="FT22" s="550">
        <f>IF($P22="Yes",$AZ22,IF($E22="Under Agreement",$AZ22,0))</f>
        <v>0</v>
      </c>
      <c r="FU22" s="550">
        <f>IF(FM22&lt;0.15,(VLOOKUP($AN22,'Impact Fee'!$A$1:$E$10,5,FALSE)*FS22),0)</f>
        <v>0</v>
      </c>
      <c r="FV22" s="550">
        <f>FT22+FU22</f>
        <v>0</v>
      </c>
      <c r="FW22" s="550">
        <f>$AG22</f>
        <v>6525000</v>
      </c>
      <c r="FX22" s="550">
        <f>IF(GE22="y",FR22*$FX$2,FR22*$FX$3)</f>
        <v>2245663.9999999995</v>
      </c>
      <c r="FY22" s="550">
        <f>IF(FM22&lt;0.4,(0.4-FM22)*FP22*FY$3,0)</f>
        <v>0</v>
      </c>
      <c r="FZ22" s="550">
        <f>IF((FW22-(FX22+FY22))&gt;0,FW22-(FX22+FY22),0)</f>
        <v>4279336</v>
      </c>
      <c r="GA22" s="550">
        <f>VLOOKUP($AI22,Funding!$A$1:$G$6,3,FALSE)*$AG22</f>
        <v>0</v>
      </c>
      <c r="GB22" s="550">
        <f>SUM(FV22,FY22,GA22)</f>
        <v>0</v>
      </c>
      <c r="GC22" s="550">
        <f>IF((FW22-(FX22+FY22))&lt;0,FW22-(FX22+FY22),0)</f>
        <v>0</v>
      </c>
      <c r="GD22" s="550">
        <f>GB22+GC22</f>
        <v>0</v>
      </c>
      <c r="GE22" s="550"/>
      <c r="GF22" s="550">
        <f>IF(GE22="y",FP22*$BF$2,FP22*$BF$3)</f>
        <v>21320000</v>
      </c>
      <c r="GG22" s="550">
        <f>DU22</f>
        <v>0</v>
      </c>
      <c r="GH22" s="550">
        <f>IF(FP22&gt;79,IF(FM22&gt;0,-$BJ$2*GF22,0),0)</f>
        <v>0</v>
      </c>
      <c r="GI22" s="550">
        <f>IF(FP22&gt;79,IF(FM22=0,-$BJ$2*GF22,0),0)</f>
        <v>0</v>
      </c>
      <c r="GJ22" s="550">
        <f>IF(GG22&gt;$DX$3,-$BJ$2*GG22,0)</f>
        <v>0</v>
      </c>
      <c r="GK22" s="550">
        <f>SUM(GH22:GJ22)</f>
        <v>0</v>
      </c>
      <c r="GL22" s="550">
        <f>IF(FP22&gt;79,IF(FM22=1,0,-$BM$2*GF22),0)</f>
        <v>0</v>
      </c>
      <c r="GM22" s="550">
        <f>IF(GG22&gt;$DZ$3,-$BM$2*GG22,0)</f>
        <v>0</v>
      </c>
      <c r="GN22" s="550">
        <f>GL22+GM22</f>
        <v>0</v>
      </c>
      <c r="GO22" s="199"/>
      <c r="GP22" s="275"/>
      <c r="GQ22" s="199">
        <f>IF(ISBLANK(GO22),ROUNDDOWN(AS22,0),ROUNDDOWN(GO22,0))</f>
        <v>64</v>
      </c>
      <c r="GR22" s="34">
        <v>1</v>
      </c>
      <c r="GS22" s="34">
        <f>IF(GR22&gt;0.2,0.35,VLOOKUP(GR22,'Density Bonus'!$A$1:$B$15,2,FALSE))</f>
        <v>0.35</v>
      </c>
      <c r="GT22" s="235">
        <f>IF($I22/$AK$3&gt;((1+GS22)*GQ22),(1+GS22)*GQ22,IF(GQ22&gt;($I22/$AK$3),GQ22,($I22/$AK$3)))</f>
        <v>64.444444444444443</v>
      </c>
      <c r="GU22" s="235">
        <f>IF(GS22&gt;0,ROUNDUP(GT22,0),ROUNDDOWN(GT22,0))</f>
        <v>65</v>
      </c>
      <c r="GV22" s="347"/>
      <c r="GW22" s="31">
        <f>IF(ISBLANK($AT22),GR22*GU22,$AT22)</f>
        <v>65</v>
      </c>
      <c r="GX22" s="31">
        <f>GU22-GW22</f>
        <v>0</v>
      </c>
      <c r="GY22" s="196" t="str">
        <f>IF($P22="Yes",$AZ22,IF($E22="Under Agreement",$AZ22,""))</f>
        <v/>
      </c>
      <c r="GZ22" s="238">
        <f>IF(GR22&lt;1,$AG22+($AZ22-GY22),0)</f>
        <v>0</v>
      </c>
      <c r="HA22" s="238">
        <f>SUM(HK22:HM22)</f>
        <v>0</v>
      </c>
      <c r="HB22" s="238">
        <f>HN22+HO22</f>
        <v>0</v>
      </c>
      <c r="HC22" s="238">
        <f t="shared" si="224"/>
        <v>0</v>
      </c>
      <c r="HD22" s="238">
        <f>VLOOKUP($AI22,Funding!$A$1:$G$6,7,FALSE)*HC22</f>
        <v>0</v>
      </c>
      <c r="HE22" s="238">
        <f>SUM(GY22,HD22)</f>
        <v>0</v>
      </c>
      <c r="HF22" s="238">
        <f t="shared" si="226"/>
        <v>-6613880</v>
      </c>
      <c r="HG22" s="238">
        <f>HE22+HF22</f>
        <v>-6613880</v>
      </c>
      <c r="HH22" s="238"/>
      <c r="HI22" s="238">
        <f>IF(HH22="y",GU22*$BF$2,GU22*$BF$3)</f>
        <v>21320000</v>
      </c>
      <c r="HJ22" s="238">
        <f>$BG22</f>
        <v>0</v>
      </c>
      <c r="HK22" s="238">
        <f>IF(GU22&gt;79,IF(GR22&gt;0,-$BJ$2*HI22,0),0)</f>
        <v>0</v>
      </c>
      <c r="HL22" s="238">
        <f>IF(GU22&gt;79,IF(GR22=0,-$BJ$2*HI22,0),0)</f>
        <v>0</v>
      </c>
      <c r="HM22" s="238">
        <f>IF(HJ22&gt;$HM$3,-$BJ$2*HJ22,0)</f>
        <v>0</v>
      </c>
      <c r="HN22" s="238">
        <f>IF(GU22&gt;79,-$BM$2*HI22*(1-GR22),0)</f>
        <v>0</v>
      </c>
      <c r="HO22" s="238">
        <f>IF(HJ22&gt;$HO$3,-$BM$2*HJ22,0)</f>
        <v>0</v>
      </c>
      <c r="HP22" s="397"/>
      <c r="HQ22" s="424" t="s">
        <v>446</v>
      </c>
      <c r="HR22" s="426">
        <f>AH22</f>
        <v>7975000</v>
      </c>
      <c r="HS22" s="425">
        <f t="shared" ref="HS22:HT26" si="278">AT22</f>
        <v>0</v>
      </c>
      <c r="HT22" s="425">
        <f t="shared" si="278"/>
        <v>64</v>
      </c>
      <c r="HU22" s="429">
        <v>0</v>
      </c>
      <c r="HV22" s="429">
        <v>0</v>
      </c>
      <c r="HW22" s="429">
        <f t="shared" ref="HW22:HY26" si="279">L22</f>
        <v>0</v>
      </c>
      <c r="HX22" s="429">
        <f t="shared" si="279"/>
        <v>0</v>
      </c>
      <c r="HY22" s="429">
        <f t="shared" si="279"/>
        <v>0</v>
      </c>
      <c r="HZ22" s="426">
        <f>IF(BE22="y",$BF$2,$BF$3)</f>
        <v>328000</v>
      </c>
      <c r="IA22" s="426">
        <v>270</v>
      </c>
      <c r="IB22" s="426">
        <v>270</v>
      </c>
      <c r="IC22" s="425"/>
      <c r="ID22" s="425"/>
      <c r="IE22" s="425"/>
      <c r="IF22" s="427">
        <f>(($HR22+((HS22+HT22)*HZ22)+(HU22*IA22)+(HV22*IB22)+(HW22*IC22)+(HX22*ID22))*0.01*0.29)</f>
        <v>84004.299999999988</v>
      </c>
      <c r="IG22" s="428">
        <f>((1.17*IF22/0.29)*0.39)-IF22</f>
        <v>48172.120999999985</v>
      </c>
      <c r="IH22" s="428">
        <f>HV22*400*0.01</f>
        <v>0</v>
      </c>
      <c r="II22" s="428">
        <f>(HT22*(IF(HQ22="Downtown",$HZ$1,$HZ$2))*12*0.01395)+(HU22*(IF(HQ22="Downtown",$IA$1,$IA$2))*12*0.01395)+(HV22*(IF(HQ22="Downtown",$IB$1,$IB$2))*12*0.01395)+(HW22*(IF(HQ22="Downtown",$IC$1,$IC$2))*12*0.0018)+(HX22*(IF(HQ22="Downtown",$ID$1,$ID$2))*12*0.01395)</f>
        <v>38568.959999999999</v>
      </c>
      <c r="IJ22" s="428">
        <f>HW22*$IC$1*12*0.14</f>
        <v>0</v>
      </c>
      <c r="IK22" s="428">
        <f>SUM(IF22:IJ22)</f>
        <v>170745.38099999996</v>
      </c>
      <c r="IL22" s="429">
        <f>(HU22/300)+(HV22/500)+(HW22/1.33)+(HX22/1000)</f>
        <v>0</v>
      </c>
      <c r="IM22" s="427">
        <f>Sites!AG22</f>
        <v>6525000</v>
      </c>
      <c r="IN22" s="428">
        <f>0.015*IM22</f>
        <v>97875</v>
      </c>
      <c r="IO22" s="429">
        <f>(((HS22+HT22)*HZ22)+(HU22*IA22)+(HV22*IB22)+(HW22*IC22)+(HX22*ID22))/$IO$1</f>
        <v>104.96</v>
      </c>
      <c r="IP22" s="426">
        <f>SUM(IT22:JW22)</f>
        <v>6159011.2468753513</v>
      </c>
      <c r="IQ22" s="426">
        <f>NPV(5%,IT22:JW22)</f>
        <v>3304289.206165574</v>
      </c>
      <c r="IR22" s="430">
        <v>2023</v>
      </c>
      <c r="IS22" s="431"/>
      <c r="IT22" s="431"/>
      <c r="IU22" s="431"/>
      <c r="IV22" s="428"/>
      <c r="IW22" s="428"/>
      <c r="IX22" s="428"/>
      <c r="IY22" s="428">
        <f t="shared" ref="IY22:JH23" si="280">IY$4*$IK22</f>
        <v>192287.03134511338</v>
      </c>
      <c r="IZ22" s="428">
        <f t="shared" si="280"/>
        <v>196132.77197201562</v>
      </c>
      <c r="JA22" s="428">
        <f t="shared" si="280"/>
        <v>200055.42741145595</v>
      </c>
      <c r="JB22" s="428">
        <f t="shared" si="280"/>
        <v>204056.53595968508</v>
      </c>
      <c r="JC22" s="428">
        <f t="shared" si="280"/>
        <v>208137.66667887877</v>
      </c>
      <c r="JD22" s="428">
        <f t="shared" si="280"/>
        <v>212300.42001245631</v>
      </c>
      <c r="JE22" s="428">
        <f t="shared" si="280"/>
        <v>216546.42841270549</v>
      </c>
      <c r="JF22" s="428">
        <f t="shared" si="280"/>
        <v>220877.35698095956</v>
      </c>
      <c r="JG22" s="428">
        <f t="shared" si="280"/>
        <v>225294.90412057878</v>
      </c>
      <c r="JH22" s="428">
        <f t="shared" si="280"/>
        <v>229800.80220299031</v>
      </c>
      <c r="JI22" s="428">
        <f t="shared" ref="JI22:JW23" si="281">JI$4*$IK22</f>
        <v>234396.81824705013</v>
      </c>
      <c r="JJ22" s="428">
        <f t="shared" si="281"/>
        <v>239084.75461199117</v>
      </c>
      <c r="JK22" s="428">
        <f t="shared" si="281"/>
        <v>243866.44970423097</v>
      </c>
      <c r="JL22" s="428">
        <f t="shared" si="281"/>
        <v>248743.77869831558</v>
      </c>
      <c r="JM22" s="428">
        <f t="shared" si="281"/>
        <v>253718.65427228191</v>
      </c>
      <c r="JN22" s="428">
        <f t="shared" si="281"/>
        <v>258793.02735772752</v>
      </c>
      <c r="JO22" s="428">
        <f t="shared" si="281"/>
        <v>263968.88790488208</v>
      </c>
      <c r="JP22" s="428">
        <f t="shared" si="281"/>
        <v>269248.26566297968</v>
      </c>
      <c r="JQ22" s="428">
        <f t="shared" si="281"/>
        <v>274633.23097623931</v>
      </c>
      <c r="JR22" s="428">
        <f t="shared" si="281"/>
        <v>280125.8955957641</v>
      </c>
      <c r="JS22" s="428">
        <f t="shared" si="281"/>
        <v>285728.41350767942</v>
      </c>
      <c r="JT22" s="428">
        <f t="shared" si="281"/>
        <v>291442.9817778329</v>
      </c>
      <c r="JU22" s="428">
        <f t="shared" si="281"/>
        <v>297271.84141338966</v>
      </c>
      <c r="JV22" s="428">
        <f t="shared" si="281"/>
        <v>303217.27824165742</v>
      </c>
      <c r="JW22" s="428">
        <f t="shared" si="281"/>
        <v>309281.62380649056</v>
      </c>
      <c r="JX22" s="432"/>
      <c r="JY22" s="435">
        <f t="shared" ref="JY22:JZ26" si="282">BV22</f>
        <v>0</v>
      </c>
      <c r="JZ22" s="435">
        <f t="shared" si="282"/>
        <v>0</v>
      </c>
      <c r="KA22" s="435">
        <f t="shared" ref="KA22:KE26" si="283">J22</f>
        <v>130400</v>
      </c>
      <c r="KB22" s="435">
        <f t="shared" si="283"/>
        <v>20000</v>
      </c>
      <c r="KC22" s="435">
        <f t="shared" si="283"/>
        <v>0</v>
      </c>
      <c r="KD22" s="435">
        <f t="shared" si="283"/>
        <v>0</v>
      </c>
      <c r="KE22" s="435">
        <f t="shared" si="283"/>
        <v>0</v>
      </c>
      <c r="KF22" s="432">
        <f>IF(CI22="y",$BF$2,$BF$3)</f>
        <v>328000</v>
      </c>
      <c r="KG22" s="445">
        <f t="shared" ref="KG22:KK25" si="284">IA22</f>
        <v>270</v>
      </c>
      <c r="KH22" s="445">
        <f t="shared" si="284"/>
        <v>270</v>
      </c>
      <c r="KI22" s="445">
        <f t="shared" si="284"/>
        <v>0</v>
      </c>
      <c r="KJ22" s="445">
        <f t="shared" si="284"/>
        <v>0</v>
      </c>
      <c r="KK22" s="445">
        <f t="shared" si="284"/>
        <v>0</v>
      </c>
      <c r="KL22" s="434">
        <f>(($HR22+(JZ22*KF22)+(KA22*KG22)+(KB22*KH22)+(KC22*KI22)+(KD22*KJ22))*0.01*0.29)</f>
        <v>140890.69999999998</v>
      </c>
      <c r="KM22" s="432">
        <f>((1.17*KL22/0.29)*0.39)-KL22</f>
        <v>80793.52900000001</v>
      </c>
      <c r="KN22" s="432">
        <f>KB22*400*0.01</f>
        <v>80000</v>
      </c>
      <c r="KO22" s="432">
        <f>(JZ22*(IF($HQ22="Downtown",$HZ$1,$HZ$2))*12*0.01395)+(KA22*(IF($HQ22="Downtown",$IA$1,$IA$2))*12*0.01395)+(KB22*(IF($HQ22="Downtown",$IB$1,$IB$2))*12*0.01395)+(KC22*(IF($HQ22="Downtown",$IC$1,$IC$2))*12*0.0018)+(KD22*(IF($HQ22="Downtown",$ID$1,$ID$2))*12*0.01395)</f>
        <v>119188.8</v>
      </c>
      <c r="KP22" s="432">
        <f>KC22*$IC$1*12*0.14</f>
        <v>0</v>
      </c>
      <c r="KQ22" s="432">
        <f>SUM(KL22:KP22)</f>
        <v>420873.02899999998</v>
      </c>
      <c r="KR22" s="435">
        <f>(KA22/300)+(KB22/500)+(KC22/1.33)+(KD22/1000)</f>
        <v>474.66666666666669</v>
      </c>
      <c r="KS22" s="434">
        <f>CD22</f>
        <v>6525000</v>
      </c>
      <c r="KT22" s="432">
        <f>0.015*KS22</f>
        <v>97875</v>
      </c>
      <c r="KU22" s="435">
        <f>(((JY22+JZ22)*KF22)+(KA22*KG22)+(KB22*KH22)+(KC22*KI22)+(KD22*KJ22))/$IO$1</f>
        <v>203.04</v>
      </c>
      <c r="KV22" s="433">
        <f>SUM(KZ22:MC22)</f>
        <v>15181445.63522627</v>
      </c>
      <c r="KW22" s="433">
        <f>NPV(5%,KZ22:MC22)</f>
        <v>8144795.4770203177</v>
      </c>
      <c r="KX22" s="436">
        <f>IR22</f>
        <v>2023</v>
      </c>
      <c r="KY22" s="411"/>
      <c r="KZ22" s="411"/>
      <c r="LA22" s="411"/>
      <c r="LB22" s="411"/>
      <c r="LC22" s="411"/>
      <c r="LD22" s="411"/>
      <c r="LE22" s="446">
        <f t="shared" ref="LE22:LN23" si="285">LE$4*$KQ22</f>
        <v>473971.38854160765</v>
      </c>
      <c r="LF22" s="446">
        <f t="shared" si="285"/>
        <v>483450.81631243968</v>
      </c>
      <c r="LG22" s="446">
        <f t="shared" si="285"/>
        <v>493119.8326386885</v>
      </c>
      <c r="LH22" s="446">
        <f t="shared" si="285"/>
        <v>502982.22929146228</v>
      </c>
      <c r="LI22" s="446">
        <f t="shared" si="285"/>
        <v>513041.87387729157</v>
      </c>
      <c r="LJ22" s="446">
        <f t="shared" si="285"/>
        <v>523302.71135483729</v>
      </c>
      <c r="LK22" s="446">
        <f t="shared" si="285"/>
        <v>533768.76558193413</v>
      </c>
      <c r="LL22" s="446">
        <f t="shared" si="285"/>
        <v>544444.14089357283</v>
      </c>
      <c r="LM22" s="446">
        <f t="shared" si="285"/>
        <v>555333.02371144434</v>
      </c>
      <c r="LN22" s="446">
        <f t="shared" si="285"/>
        <v>566439.68418567302</v>
      </c>
      <c r="LO22" s="446">
        <f t="shared" ref="LO22:MC23" si="286">LO$4*$KQ22</f>
        <v>577768.47786938655</v>
      </c>
      <c r="LP22" s="446">
        <f t="shared" si="286"/>
        <v>589323.84742677433</v>
      </c>
      <c r="LQ22" s="446">
        <f t="shared" si="286"/>
        <v>601110.32437530975</v>
      </c>
      <c r="LR22" s="446">
        <f t="shared" si="286"/>
        <v>613132.53086281591</v>
      </c>
      <c r="LS22" s="446">
        <f t="shared" si="286"/>
        <v>625395.18148007232</v>
      </c>
      <c r="LT22" s="446">
        <f t="shared" si="286"/>
        <v>637903.08510967379</v>
      </c>
      <c r="LU22" s="446">
        <f t="shared" si="286"/>
        <v>650661.14681186725</v>
      </c>
      <c r="LV22" s="446">
        <f t="shared" si="286"/>
        <v>663674.36974810448</v>
      </c>
      <c r="LW22" s="446">
        <f t="shared" si="286"/>
        <v>676947.85714306659</v>
      </c>
      <c r="LX22" s="446">
        <f t="shared" si="286"/>
        <v>690486.81428592792</v>
      </c>
      <c r="LY22" s="446">
        <f t="shared" si="286"/>
        <v>704296.55057164654</v>
      </c>
      <c r="LZ22" s="446">
        <f t="shared" si="286"/>
        <v>718382.48158307932</v>
      </c>
      <c r="MA22" s="446">
        <f t="shared" si="286"/>
        <v>732750.13121474115</v>
      </c>
      <c r="MB22" s="446">
        <f t="shared" si="286"/>
        <v>747405.13383903576</v>
      </c>
      <c r="MC22" s="446">
        <f t="shared" si="286"/>
        <v>762353.23651581653</v>
      </c>
      <c r="MD22" s="496"/>
      <c r="ME22" s="497">
        <f t="shared" ref="ME22:MI26" si="287">IF($E22="Under Agreement",J22,IF($P22="Yes",J22,0))</f>
        <v>0</v>
      </c>
      <c r="MF22" s="497">
        <f t="shared" si="287"/>
        <v>0</v>
      </c>
      <c r="MG22" s="497">
        <f t="shared" si="287"/>
        <v>0</v>
      </c>
      <c r="MH22" s="497">
        <f t="shared" si="287"/>
        <v>0</v>
      </c>
      <c r="MI22" s="497">
        <f t="shared" si="287"/>
        <v>0</v>
      </c>
      <c r="MJ22" s="498">
        <f t="shared" ref="MJ22:MN26" si="288">IA22</f>
        <v>270</v>
      </c>
      <c r="MK22" s="498">
        <f t="shared" si="288"/>
        <v>270</v>
      </c>
      <c r="ML22" s="498">
        <f t="shared" si="288"/>
        <v>0</v>
      </c>
      <c r="MM22" s="498">
        <f t="shared" si="288"/>
        <v>0</v>
      </c>
      <c r="MN22" s="498">
        <f t="shared" si="288"/>
        <v>0</v>
      </c>
      <c r="MO22" s="454"/>
      <c r="MP22" s="448">
        <f t="shared" ref="MP22:MQ26" si="289">GW22</f>
        <v>65</v>
      </c>
      <c r="MQ22" s="448">
        <f t="shared" si="289"/>
        <v>0</v>
      </c>
      <c r="MR22" s="448">
        <f t="shared" ref="MR22:MV26" si="290">IF($E22="Under Agreement",J22,IF($P22="Yes",J22,0))</f>
        <v>0</v>
      </c>
      <c r="MS22" s="448">
        <f t="shared" si="290"/>
        <v>0</v>
      </c>
      <c r="MT22" s="448">
        <f t="shared" si="290"/>
        <v>0</v>
      </c>
      <c r="MU22" s="448">
        <f t="shared" si="290"/>
        <v>0</v>
      </c>
      <c r="MV22" s="448">
        <f t="shared" si="290"/>
        <v>0</v>
      </c>
      <c r="MW22" s="450">
        <f>IF(HH22="y",$BF$2,$BF$3)</f>
        <v>328000</v>
      </c>
      <c r="MX22" s="450">
        <f t="shared" ref="MX22:NB26" si="291">KG22</f>
        <v>270</v>
      </c>
      <c r="MY22" s="450">
        <f t="shared" si="291"/>
        <v>270</v>
      </c>
      <c r="MZ22" s="450">
        <f t="shared" si="291"/>
        <v>0</v>
      </c>
      <c r="NA22" s="450">
        <f t="shared" si="291"/>
        <v>0</v>
      </c>
      <c r="NB22" s="450">
        <f t="shared" si="291"/>
        <v>0</v>
      </c>
      <c r="NC22" s="451">
        <f>IF($P22="Yes",$IF22,IF($E22="Under Agreement",$IF22,0))</f>
        <v>0</v>
      </c>
      <c r="ND22" s="449">
        <f>((1.17*NC22/0.29)*0.39)-NC22</f>
        <v>0</v>
      </c>
      <c r="NE22" s="449">
        <f>MS22*400*0.01</f>
        <v>0</v>
      </c>
      <c r="NF22" s="449">
        <f>(MQ22*(IF($HQ22="Downtown",$HZ$1,$HZ$2))*12*0.01395)+(MR22*(IF($HQ22="Downtown",$IA$1,$IA$2))*12*0.01395)+(MS22*(IF($HQ22="Downtown",$IB$1,$IB$2))*12*0.01395)+(MT22*(IF($HQ22="Downtown",$IC$1,$IC$2))*12*0.0018)+(MU22*(IF($HQ22="Downtown",$ID$1,$ID$2))*12*0.01395)</f>
        <v>0</v>
      </c>
      <c r="NG22" s="449">
        <f>MT22*$IC$1*12*0.14</f>
        <v>0</v>
      </c>
      <c r="NH22" s="449">
        <f>SUM(NC22:NG22)</f>
        <v>0</v>
      </c>
      <c r="NI22" s="448">
        <f>(MR22/300)+(MS22/500)+(MT22/1.33)+(MU22/1000)</f>
        <v>0</v>
      </c>
      <c r="NJ22" s="451">
        <f>GZ22</f>
        <v>0</v>
      </c>
      <c r="NK22" s="449">
        <f>0.015*NJ22</f>
        <v>0</v>
      </c>
      <c r="NL22" s="448">
        <f>(((MP22+MQ22)*MW22)+(MR22*MX22)+(MS22*MY22)+(MT22*MZ22)+(MU22*NA22))/$IO$1</f>
        <v>106.6</v>
      </c>
      <c r="NM22" s="452">
        <f>SUM(NQ22:OT22)</f>
        <v>0</v>
      </c>
      <c r="NN22" s="452">
        <f>NPV(5%,NQ22:OT22)</f>
        <v>0</v>
      </c>
      <c r="NO22" s="453">
        <f>KX22</f>
        <v>2023</v>
      </c>
      <c r="NP22" s="423"/>
      <c r="NQ22" s="423"/>
      <c r="NR22" s="423"/>
      <c r="NS22" s="423"/>
      <c r="NT22" s="423"/>
      <c r="NU22" s="423"/>
      <c r="NV22" s="454">
        <f t="shared" ref="NV22:OE23" si="292">NV$4*$NH22</f>
        <v>0</v>
      </c>
      <c r="NW22" s="454">
        <f t="shared" si="292"/>
        <v>0</v>
      </c>
      <c r="NX22" s="454">
        <f t="shared" si="292"/>
        <v>0</v>
      </c>
      <c r="NY22" s="454">
        <f t="shared" si="292"/>
        <v>0</v>
      </c>
      <c r="NZ22" s="454">
        <f t="shared" si="292"/>
        <v>0</v>
      </c>
      <c r="OA22" s="454">
        <f t="shared" si="292"/>
        <v>0</v>
      </c>
      <c r="OB22" s="454">
        <f t="shared" si="292"/>
        <v>0</v>
      </c>
      <c r="OC22" s="454">
        <f t="shared" si="292"/>
        <v>0</v>
      </c>
      <c r="OD22" s="454">
        <f t="shared" si="292"/>
        <v>0</v>
      </c>
      <c r="OE22" s="454">
        <f t="shared" si="292"/>
        <v>0</v>
      </c>
      <c r="OF22" s="454">
        <f t="shared" ref="OF22:OT23" si="293">OF$4*$NH22</f>
        <v>0</v>
      </c>
      <c r="OG22" s="454">
        <f t="shared" si="293"/>
        <v>0</v>
      </c>
      <c r="OH22" s="454">
        <f t="shared" si="293"/>
        <v>0</v>
      </c>
      <c r="OI22" s="454">
        <f t="shared" si="293"/>
        <v>0</v>
      </c>
      <c r="OJ22" s="454">
        <f t="shared" si="293"/>
        <v>0</v>
      </c>
      <c r="OK22" s="454">
        <f t="shared" si="293"/>
        <v>0</v>
      </c>
      <c r="OL22" s="454">
        <f t="shared" si="293"/>
        <v>0</v>
      </c>
      <c r="OM22" s="454">
        <f t="shared" si="293"/>
        <v>0</v>
      </c>
      <c r="ON22" s="454">
        <f t="shared" si="293"/>
        <v>0</v>
      </c>
      <c r="OO22" s="454">
        <f t="shared" si="293"/>
        <v>0</v>
      </c>
      <c r="OP22" s="454">
        <f t="shared" si="293"/>
        <v>0</v>
      </c>
      <c r="OQ22" s="454">
        <f t="shared" si="293"/>
        <v>0</v>
      </c>
      <c r="OR22" s="454">
        <f t="shared" si="293"/>
        <v>0</v>
      </c>
      <c r="OS22" s="454">
        <f t="shared" si="293"/>
        <v>0</v>
      </c>
      <c r="OT22" s="454">
        <f t="shared" si="293"/>
        <v>0</v>
      </c>
    </row>
    <row r="23" spans="1:410" s="11" customFormat="1" ht="60">
      <c r="A23" s="19" t="s">
        <v>284</v>
      </c>
      <c r="B23" s="19" t="s">
        <v>370</v>
      </c>
      <c r="C23" s="19" t="s">
        <v>7</v>
      </c>
      <c r="D23" s="19">
        <v>1</v>
      </c>
      <c r="E23" s="19" t="s">
        <v>293</v>
      </c>
      <c r="F23" s="19" t="s">
        <v>279</v>
      </c>
      <c r="G23" s="23">
        <v>4</v>
      </c>
      <c r="H23" s="23"/>
      <c r="I23" s="442">
        <v>45121</v>
      </c>
      <c r="J23" s="20">
        <f>I23*20</f>
        <v>902420</v>
      </c>
      <c r="K23" s="20"/>
      <c r="L23" s="20"/>
      <c r="M23" s="20"/>
      <c r="N23" s="20"/>
      <c r="O23" s="442">
        <f>SUM(J23:N23)</f>
        <v>902420</v>
      </c>
      <c r="P23" s="21"/>
      <c r="Q23" s="27" t="s">
        <v>421</v>
      </c>
      <c r="R23" s="27">
        <f>I23/AJ23</f>
        <v>501.34444444444443</v>
      </c>
      <c r="S23" s="27">
        <v>20</v>
      </c>
      <c r="T23" s="27">
        <f>I23*S23</f>
        <v>902420</v>
      </c>
      <c r="U23" s="21">
        <v>6</v>
      </c>
      <c r="V23" s="19" t="s">
        <v>59</v>
      </c>
      <c r="W23" s="22" t="s">
        <v>32</v>
      </c>
      <c r="X23" s="19" t="s">
        <v>35</v>
      </c>
      <c r="Y23" s="19" t="s">
        <v>26</v>
      </c>
      <c r="Z23" s="19" t="s">
        <v>6</v>
      </c>
      <c r="AA23" s="219" t="s">
        <v>81</v>
      </c>
      <c r="AB23" s="219" t="s">
        <v>83</v>
      </c>
      <c r="AC23" s="224">
        <v>325</v>
      </c>
      <c r="AD23" s="224">
        <f>AC23*I23</f>
        <v>14664325</v>
      </c>
      <c r="AE23" s="225"/>
      <c r="AF23" s="273"/>
      <c r="AG23" s="220">
        <f>IF(ISBLANK(AE23),AD23,AE23)</f>
        <v>14664325</v>
      </c>
      <c r="AH23" s="220">
        <f>AG23</f>
        <v>14664325</v>
      </c>
      <c r="AI23" s="24" t="s">
        <v>248</v>
      </c>
      <c r="AJ23" s="228">
        <f>VLOOKUP($Q23,'Zoning Density'!$A$1:$E$28,3,)</f>
        <v>90</v>
      </c>
      <c r="AK23" s="228">
        <f>IF(AJ23=0,0,(IF(AJ23&gt;$AK$3,AJ23,$AK$3)))</f>
        <v>450</v>
      </c>
      <c r="AL23" s="229">
        <f>IF(AJ23&gt;0,I23/AJ23,0)</f>
        <v>501.34444444444443</v>
      </c>
      <c r="AM23" s="229">
        <f>IF(AK23&gt;0,I23/$AK23,0)</f>
        <v>100.2688888888889</v>
      </c>
      <c r="AN23" s="228">
        <v>1</v>
      </c>
      <c r="AO23" s="221">
        <f>VLOOKUP($AI23,Funding!$A$1:$G$6,3,FALSE)*$AG23</f>
        <v>0</v>
      </c>
      <c r="AP23" s="221">
        <f>VLOOKUP($AI23,Funding!$A$1:$G$6,4,FALSE)*$AG23</f>
        <v>14664325</v>
      </c>
      <c r="AQ23" s="351">
        <v>500</v>
      </c>
      <c r="AR23" s="274" t="s">
        <v>410</v>
      </c>
      <c r="AS23" s="222">
        <f>IF(ISBLANK(AQ23),ROUNDDOWN($AM23,0),ROUNDDOWN(AQ23,0))</f>
        <v>500</v>
      </c>
      <c r="AT23" s="222"/>
      <c r="AU23" s="222">
        <f>AS23-AT23</f>
        <v>500</v>
      </c>
      <c r="AV23" s="221">
        <f>VLOOKUP($AN23,'Impact Fee'!$A$1:$E$20,5,FALSE)*AU23</f>
        <v>11000000</v>
      </c>
      <c r="AW23" s="221">
        <f>IF(P23="yes",IF((J23+M23)&gt;25000,(J23+M23-25000)*6,0),0)</f>
        <v>0</v>
      </c>
      <c r="AX23" s="221"/>
      <c r="AY23" s="321"/>
      <c r="AZ23" s="221">
        <f>IF(ISBLANK(AX23),AV23+AW23,AX23)</f>
        <v>11000000</v>
      </c>
      <c r="BA23" s="221">
        <f>AO23+AZ23</f>
        <v>11000000</v>
      </c>
      <c r="BB23" s="221">
        <f>AP23+AZ23</f>
        <v>25664325</v>
      </c>
      <c r="BC23" s="271">
        <f t="shared" si="276"/>
        <v>88</v>
      </c>
      <c r="BD23" s="271">
        <f t="shared" si="277"/>
        <v>205.31460000000001</v>
      </c>
      <c r="BE23" s="271" t="s">
        <v>233</v>
      </c>
      <c r="BF23" s="221">
        <f>IF(BE23="y",AS23*$BF$2,AS23*$BF$3)</f>
        <v>222000000</v>
      </c>
      <c r="BG23" s="221">
        <f>($HU23*$IA23)+($HV23*$IB23)+($HX23*$ID23)+($HY23*$IE23)</f>
        <v>360968000</v>
      </c>
      <c r="BH23" s="221">
        <f>IF(AU23&gt;79,-$BJ$2*BF23,0)</f>
        <v>-11100000</v>
      </c>
      <c r="BI23" s="221">
        <f>IF(BG23&gt;$BI$3,-$BJ$2*BG23,0)</f>
        <v>-18048400</v>
      </c>
      <c r="BJ23" s="221">
        <f>BH23+BI23</f>
        <v>-29148400</v>
      </c>
      <c r="BK23" s="221">
        <f>IF(AU23&gt;79,-$BM$2*BF23,0)</f>
        <v>-11100000</v>
      </c>
      <c r="BL23" s="221">
        <f>IF(BG23&gt;$BL$3,-$BM$2*BG23,0)</f>
        <v>-18048400</v>
      </c>
      <c r="BM23" s="221">
        <f>BK23+BL23</f>
        <v>-29148400</v>
      </c>
      <c r="BN23" s="259">
        <v>0</v>
      </c>
      <c r="BO23" s="260" t="s">
        <v>322</v>
      </c>
      <c r="BP23" s="259">
        <f>IF(ISBLANK(BN23),ROUNDDOWN(AS23,0),ROUNDDOWN(BN23,0))</f>
        <v>0</v>
      </c>
      <c r="BQ23" s="261">
        <v>0</v>
      </c>
      <c r="BR23" s="261">
        <f>IF(BQ23&gt;0.2,0.35,VLOOKUP(BQ23,'Density Bonus'!$A$1:$B$15,2,FALSE))</f>
        <v>0</v>
      </c>
      <c r="BS23" s="262">
        <f>IF($I23/$AK$3&gt;((1+BR23)*BP23),(1+BR23)*BP23,IF(BP23&gt;($I23/$AK$3),BP23,($I23/$AK$3)))</f>
        <v>0</v>
      </c>
      <c r="BT23" s="262">
        <f>IF(BR23&gt;0,ROUNDUP(BS23,0),ROUNDDOWN(BS23,0))</f>
        <v>0</v>
      </c>
      <c r="BU23" s="349"/>
      <c r="BV23" s="263">
        <f>BQ23*BT23</f>
        <v>0</v>
      </c>
      <c r="BW23" s="263">
        <f>BT23-BV23</f>
        <v>0</v>
      </c>
      <c r="BX23" s="264">
        <f>IF(F23="Commercial",IF((J23+M23)&gt;25000,(J23+M23-25000)*6,0),0)</f>
        <v>5264520</v>
      </c>
      <c r="BY23" s="264">
        <f>IF(BQ23&lt;0.15,(VLOOKUP($AN23,'Impact Fee'!$A$1:$E$10,5,FALSE)*BW23),0)</f>
        <v>0</v>
      </c>
      <c r="BZ23" s="264">
        <f>BX23+BY23</f>
        <v>5264520</v>
      </c>
      <c r="CA23" s="264">
        <f>IF(BQ23&lt;1,IF(BY23&gt;0,$AG23+($AZ23-BZ23),$AG23),0)</f>
        <v>14664325</v>
      </c>
      <c r="CB23" s="264">
        <f>IF(BQ23&lt;0.15,BW23*IF(CI23="y",$CC$2,$CC$3),0)</f>
        <v>0</v>
      </c>
      <c r="CC23" s="264">
        <f>IF(CB23&gt;CA23,CA23,CB23)</f>
        <v>0</v>
      </c>
      <c r="CD23" s="264">
        <f>IF(BQ23&lt;1,$AG23,0)</f>
        <v>14664325</v>
      </c>
      <c r="CE23" s="264">
        <f>CD23*IF(F23="Commercial",CE$3,VLOOKUP($AI23,Funding!$A$1:$G$6,5,FALSE))</f>
        <v>5865730</v>
      </c>
      <c r="CF23" s="264">
        <f>SUM(BZ23,CC23,CE23)</f>
        <v>11130250</v>
      </c>
      <c r="CG23" s="264">
        <f>BV23*$CG$3</f>
        <v>0</v>
      </c>
      <c r="CH23" s="264">
        <f>CF23+CG23</f>
        <v>11130250</v>
      </c>
      <c r="CI23" s="264" t="s">
        <v>233</v>
      </c>
      <c r="CJ23" s="264">
        <f>IF(CI23="y",BT23*$BF$2,BT23*$BF$3)</f>
        <v>0</v>
      </c>
      <c r="CK23" s="264">
        <f>($KA23*$KG23)+($KB23*$KH23)+($KD23*$KJ23)+($KE23*$KK23)</f>
        <v>360968000</v>
      </c>
      <c r="CL23" s="264">
        <f>IF(BT23&gt;79,IF(BQ23&gt;0,-$BJ$2*CJ23,0),0)</f>
        <v>0</v>
      </c>
      <c r="CM23" s="264">
        <f>IF(BT23&gt;79,IF(BQ23=0,-$BJ$2*CJ23,0),0)</f>
        <v>0</v>
      </c>
      <c r="CN23" s="264">
        <f>IF(CK23&gt;$CN$3,-$BJ$2*CK23,0)</f>
        <v>-18048400</v>
      </c>
      <c r="CO23" s="264">
        <f>SUM(CL23:CN23)</f>
        <v>-18048400</v>
      </c>
      <c r="CP23" s="264">
        <f>IF(BT23&gt;79,-$BM$2*CJ23*(1-BQ23),0)</f>
        <v>0</v>
      </c>
      <c r="CQ23" s="264">
        <f>IF(CK23&gt;$CQ$3,-$BM$2*CK23,0)</f>
        <v>-18048400</v>
      </c>
      <c r="CR23" s="264">
        <f>CP23+CQ23</f>
        <v>-18048400</v>
      </c>
      <c r="CS23" s="520">
        <f>$AM23</f>
        <v>100.2688888888889</v>
      </c>
      <c r="CT23" s="521" t="s">
        <v>278</v>
      </c>
      <c r="CU23" s="520">
        <f>IF(ISBLANK(CS23),ROUNDDOWN($AS23,0),ROUNDDOWN(CS23,0))</f>
        <v>100</v>
      </c>
      <c r="CV23" s="522">
        <v>0.15</v>
      </c>
      <c r="CW23" s="522">
        <f>IF(CV23&gt;0.2,0.35,VLOOKUP(CV23,'Density Bonus'!$A$1:$B$15,2,FALSE))</f>
        <v>0.27500000000000002</v>
      </c>
      <c r="CX23" s="523">
        <f>IF($I23/$AK$3&gt;((1+CW23)*CU23),(1+CW23)*CU23,IF(CU23&gt;($I23/$AK$3),CU23,($I23/$AK$3)))</f>
        <v>100.2688888888889</v>
      </c>
      <c r="CY23" s="523">
        <f>IF(CW23&gt;0,ROUNDUP(CX23,0),ROUNDDOWN(CX23,0))</f>
        <v>101</v>
      </c>
      <c r="CZ23" s="347"/>
      <c r="DA23" s="524">
        <f>IF(ISBLANK($AT23),ROUND(CV23*CY23,0),$AT23)</f>
        <v>15</v>
      </c>
      <c r="DB23" s="524">
        <f>CY23-DA23</f>
        <v>86</v>
      </c>
      <c r="DC23" s="525">
        <f>IF($P23="Yes",$AZ23,IF($E23="Under Agreement",$AZ23,0))</f>
        <v>0</v>
      </c>
      <c r="DD23" s="525">
        <f>IF(CV23&lt;0.4,VLOOKUP($AN23,'Impact Fee'!$A$1:$E$10,5,FALSE)*DB23,0)</f>
        <v>1892000</v>
      </c>
      <c r="DE23" s="525">
        <f>IF(CV23&lt;1,DC23+DD23,0)</f>
        <v>1892000</v>
      </c>
      <c r="DF23" s="525">
        <f>IF(CV23&lt;1,$AG23+DD23,0)</f>
        <v>16556325</v>
      </c>
      <c r="DG23" s="525">
        <f>IF(CV23&lt;1,IF(DS23="y",DA23*$DG$2,DA23*$DG$3),DA23*$HF$3)</f>
        <v>3368495.9999999995</v>
      </c>
      <c r="DH23" s="525">
        <f>IF(CV23&lt;0.4,(0.4-CV23)*CY23*$DH$3,0)</f>
        <v>2569238</v>
      </c>
      <c r="DI23" s="525">
        <f>DF23-(DG23-DL23-DM23)</f>
        <v>9875029</v>
      </c>
      <c r="DJ23" s="525">
        <f>IF(DI23&gt;0,IF(DH23&gt;DI23,DI23,DH23),0)</f>
        <v>2569238</v>
      </c>
      <c r="DK23" s="525">
        <f>IF(CV23&lt;1,IF((DF23-(DG23+DJ23))&gt;0,DF23-(DG23+DJ23),0),0)</f>
        <v>10618591</v>
      </c>
      <c r="DL23" s="525">
        <f>SUM(DV23:DX23)</f>
        <v>-1656400</v>
      </c>
      <c r="DM23" s="525">
        <f>DY23+DZ23</f>
        <v>-1656400</v>
      </c>
      <c r="DN23" s="525">
        <f>IF(CV23&lt;1,IF((DF23-(DG23+DJ23-DL23-DM23))&gt;0,DF23-(DG23+DJ23-DL23-DM23),0),0)</f>
        <v>7305791</v>
      </c>
      <c r="DO23" s="525">
        <f>VLOOKUP($AI23,Funding!$A$1:$G$6,6,FALSE)*DN23</f>
        <v>7305791</v>
      </c>
      <c r="DP23" s="525">
        <f>SUM(DC23,DJ23,DO23)</f>
        <v>9875029</v>
      </c>
      <c r="DQ23" s="525">
        <f>IF((DF23-(DG23+DJ23-DL23-DM23))&lt;0,DF23-(DG23+DJ23-DL23-DM23),0)</f>
        <v>0</v>
      </c>
      <c r="DR23" s="525">
        <f>DP23+DQ23</f>
        <v>9875029</v>
      </c>
      <c r="DS23" s="525"/>
      <c r="DT23" s="525">
        <f>IF(DS23="y",CY23*$BF$2,CY23*$BF$3)</f>
        <v>33128000</v>
      </c>
      <c r="DU23" s="525">
        <f>($ME23*$MJ23)+($MF23*$MK23)+($MH23*$MM23)+($MI23*$MN23)</f>
        <v>0</v>
      </c>
      <c r="DV23" s="525">
        <f>IF(CY23&gt;79,IF(CV23&gt;0,-$BJ$2*DT23,0),0)</f>
        <v>-1656400</v>
      </c>
      <c r="DW23" s="525">
        <f>IF(CY23&gt;79,IF(CV23=0,-$BJ$2*DT23,0),0)</f>
        <v>0</v>
      </c>
      <c r="DX23" s="525">
        <f>IF(DU23&gt;$DX$3,-$BJ$2*DU23,0)</f>
        <v>0</v>
      </c>
      <c r="DY23" s="525">
        <f>IF(CY23&gt;79,IF(CV23=1,0,-$BM$2*DT23),0)</f>
        <v>-1656400</v>
      </c>
      <c r="DZ23" s="525">
        <f>IF(DU23&gt;$DZ$3,-$BM$2*DU23,0)</f>
        <v>0</v>
      </c>
      <c r="EA23" s="819">
        <f>$AM23</f>
        <v>100.2688888888889</v>
      </c>
      <c r="EB23" s="820" t="s">
        <v>278</v>
      </c>
      <c r="EC23" s="819">
        <f>IF(ISBLANK(EA23),ROUNDDOWN($AS23,0),ROUNDDOWN(EA23,0))</f>
        <v>100</v>
      </c>
      <c r="ED23" s="821">
        <v>0.15</v>
      </c>
      <c r="EE23" s="821">
        <f>IF(ED23&gt;0.2,0.35,VLOOKUP(ED23,'Density Bonus'!$A$1:$B$15,2,FALSE))</f>
        <v>0.27500000000000002</v>
      </c>
      <c r="EF23" s="822">
        <f>IF($I23/$AK$3&gt;((1+EE23)*EC23),(1+EE23)*EC23,IF(EC23&gt;($I23/$AK$3),EC23,($I23/$AK$3)))</f>
        <v>100.2688888888889</v>
      </c>
      <c r="EG23" s="822">
        <f>IF(EE23&gt;0,ROUNDUP(EF23,0),ROUNDDOWN(EF23,0))</f>
        <v>101</v>
      </c>
      <c r="EH23" s="823"/>
      <c r="EI23" s="824">
        <f>IF(ISBLANK($AT23),ROUND(ED23*EG23,0),$AT23)</f>
        <v>15</v>
      </c>
      <c r="EJ23" s="824">
        <f>EG23-EI23</f>
        <v>86</v>
      </c>
      <c r="EK23" s="825">
        <f>IF($P23="Yes",$AZ23,IF($E23="Under Agreement",$AZ23,0))</f>
        <v>0</v>
      </c>
      <c r="EL23" s="825">
        <f>IF(ED23&lt;0.4,VLOOKUP($AN23,'Impact Fee'!$A$1:$E$10,5,FALSE)*EJ23,0)</f>
        <v>1892000</v>
      </c>
      <c r="EM23" s="825">
        <f>IF(ED23&lt;1,EK23+EL23,0)</f>
        <v>1892000</v>
      </c>
      <c r="EN23" s="825">
        <f>IF(ED23&lt;1,$AG23+EL23,0)</f>
        <v>16556325</v>
      </c>
      <c r="EO23" s="825">
        <f>IF(ED23&lt;1,IF(FA23="y",EI23*$DG$2,EI23*$DG$3),EI23*$HF$3)</f>
        <v>3368495.9999999995</v>
      </c>
      <c r="EP23" s="825">
        <f>IF(ED23&lt;0.4,(0.4-ED23)*EG23*$DH$3,0)</f>
        <v>2569238</v>
      </c>
      <c r="EQ23" s="825">
        <f>EN23-(EO23-ET23-EU23)</f>
        <v>9875029</v>
      </c>
      <c r="ER23" s="825">
        <f>IF(EQ23&gt;0,IF(EP23&gt;EQ23,EQ23,EP23),0)</f>
        <v>2569238</v>
      </c>
      <c r="ES23" s="825">
        <f>IF(ED23&lt;1,IF((EN23-(EO23+ER23))&gt;0,EN23-(EO23+ER23),0),0)</f>
        <v>10618591</v>
      </c>
      <c r="ET23" s="825">
        <f>SUM(FD23:FF23)</f>
        <v>-1656400</v>
      </c>
      <c r="EU23" s="825">
        <f>FG23+FH23</f>
        <v>-1656400</v>
      </c>
      <c r="EV23" s="825">
        <f>IF(ED23&lt;1,IF((EN23-(EO23+ER23-ET23-EU23))&gt;0,EN23-(EO23+ER23-ET23-EU23),0),0)</f>
        <v>7305791</v>
      </c>
      <c r="EW23" s="825">
        <f>VLOOKUP($AI23,Funding!$A$1:$G$6,6,FALSE)*EV23</f>
        <v>7305791</v>
      </c>
      <c r="EX23" s="825">
        <f>SUM(EK23,ER23,EW23)</f>
        <v>9875029</v>
      </c>
      <c r="EY23" s="825">
        <f>IF((EN23-(EO23+ER23-ET23-EU23))&lt;0,EN23-(EO23+ER23-ET23-EU23),0)</f>
        <v>0</v>
      </c>
      <c r="EZ23" s="825">
        <f>EX23+EY23</f>
        <v>9875029</v>
      </c>
      <c r="FA23" s="825"/>
      <c r="FB23" s="825">
        <f>IF(FA23="y",EG23*$BF$2,EG23*$BF$3)</f>
        <v>33128000</v>
      </c>
      <c r="FC23" s="825">
        <f>($ME23*$MJ23)+($MF23*$MK23)+($MH23*$MM23)+($MI23*$MN23)</f>
        <v>0</v>
      </c>
      <c r="FD23" s="825">
        <f>IF(EG23&gt;79,IF(ED23&gt;0,-$BJ$2*FB23,0),0)</f>
        <v>-1656400</v>
      </c>
      <c r="FE23" s="825">
        <f>IF(EG23&gt;79,IF(ED23=0,-$BJ$2*FB23,0),0)</f>
        <v>0</v>
      </c>
      <c r="FF23" s="825">
        <f>IF(FC23&gt;$DX$3,-$BJ$2*FC23,0)</f>
        <v>0</v>
      </c>
      <c r="FG23" s="825">
        <f>IF(EG23&gt;79,IF(ED23=1,0,-$BM$2*FB23),0)</f>
        <v>-1656400</v>
      </c>
      <c r="FH23" s="825">
        <f>IF(FC23&gt;$DZ$3,-$BM$2*FC23,0)</f>
        <v>0</v>
      </c>
      <c r="FI23" s="545">
        <f>$AM23</f>
        <v>100.2688888888889</v>
      </c>
      <c r="FJ23" s="546" t="s">
        <v>278</v>
      </c>
      <c r="FK23" s="546"/>
      <c r="FL23" s="545">
        <f>IF(ISBLANK(FI23),ROUNDDOWN($AS23,0),ROUNDDOWN(FI23,0))</f>
        <v>100</v>
      </c>
      <c r="FM23" s="547">
        <v>0.15</v>
      </c>
      <c r="FN23" s="547">
        <f>IF(FM23&gt;0.2,0.35,VLOOKUP(FM23,'Density Bonus'!$A$1:$B$15,2,FALSE))</f>
        <v>0.27500000000000002</v>
      </c>
      <c r="FO23" s="548">
        <f>IF($I23/$AK$3&gt;((1+FN23)*FL23),(1+FN23)*FL23,IF(FL23&gt;($I23/$AK$3),FL23,($I23/$AK$3)))</f>
        <v>100.2688888888889</v>
      </c>
      <c r="FP23" s="548">
        <f>IF(FN23&gt;0,ROUNDUP(FO23,0),ROUNDDOWN(FO23,0))</f>
        <v>101</v>
      </c>
      <c r="FQ23" s="347"/>
      <c r="FR23" s="549">
        <f>IF(ISBLANK($AT23),ROUND(FM23*FP23,0),$AT23)</f>
        <v>15</v>
      </c>
      <c r="FS23" s="549">
        <f>FP23-FR23</f>
        <v>86</v>
      </c>
      <c r="FT23" s="550">
        <f>IF($P23="Yes",$AZ23,IF($E23="Under Agreement",$AZ23,0))</f>
        <v>0</v>
      </c>
      <c r="FU23" s="550">
        <f>IF(FM23&lt;0.15,(VLOOKUP($AN23,'Impact Fee'!$A$1:$E$10,5,FALSE)*FS23),0)</f>
        <v>0</v>
      </c>
      <c r="FV23" s="550">
        <f>FT23+FU23</f>
        <v>0</v>
      </c>
      <c r="FW23" s="550">
        <f>$AG23</f>
        <v>14664325</v>
      </c>
      <c r="FX23" s="550">
        <f>IF(GE23="y",FR23*$FX$2,FR23*$FX$3)</f>
        <v>3368495.9999999995</v>
      </c>
      <c r="FY23" s="550">
        <f>IF(FM23&lt;0.4,(0.4-FM23)*FP23*FY$3,0)</f>
        <v>0</v>
      </c>
      <c r="FZ23" s="550">
        <f>IF((FW23-(FX23+FY23))&gt;0,FW23-(FX23+FY23),0)</f>
        <v>11295829</v>
      </c>
      <c r="GA23" s="550">
        <f>VLOOKUP($AI23,Funding!$A$1:$G$6,3,FALSE)*$AG23</f>
        <v>0</v>
      </c>
      <c r="GB23" s="550">
        <f>SUM(FV23,FY23,GA23)</f>
        <v>0</v>
      </c>
      <c r="GC23" s="550">
        <f>IF((FW23-(FX23+FY23))&lt;0,FW23-(FX23+FY23),0)</f>
        <v>0</v>
      </c>
      <c r="GD23" s="550">
        <f>GB23+GC23</f>
        <v>0</v>
      </c>
      <c r="GE23" s="550"/>
      <c r="GF23" s="550">
        <f>IF(GE23="y",FP23*$BF$2,FP23*$BF$3)</f>
        <v>33128000</v>
      </c>
      <c r="GG23" s="550">
        <f>DU23</f>
        <v>0</v>
      </c>
      <c r="GH23" s="550">
        <f>IF(FP23&gt;79,IF(FM23&gt;0,-$BJ$2*GF23,0),0)</f>
        <v>-1656400</v>
      </c>
      <c r="GI23" s="550">
        <f>IF(FP23&gt;79,IF(FM23=0,-$BJ$2*GF23,0),0)</f>
        <v>0</v>
      </c>
      <c r="GJ23" s="550">
        <f>IF(GG23&gt;$DX$3,-$BJ$2*GG23,0)</f>
        <v>0</v>
      </c>
      <c r="GK23" s="550">
        <f>SUM(GH23:GJ23)</f>
        <v>-1656400</v>
      </c>
      <c r="GL23" s="550">
        <f>IF(FP23&gt;79,IF(FM23=1,0,-$BM$2*GF23),0)</f>
        <v>-1656400</v>
      </c>
      <c r="GM23" s="550">
        <f>IF(GG23&gt;$DZ$3,-$BM$2*GG23,0)</f>
        <v>0</v>
      </c>
      <c r="GN23" s="550">
        <f>GL23+GM23</f>
        <v>-1656400</v>
      </c>
      <c r="GO23" s="199">
        <f>$AM23</f>
        <v>100.2688888888889</v>
      </c>
      <c r="GP23" s="275" t="s">
        <v>278</v>
      </c>
      <c r="GQ23" s="199">
        <f>IF(ISBLANK(GO23),ROUNDDOWN(AS23,0),ROUNDDOWN(GO23,0))</f>
        <v>100</v>
      </c>
      <c r="GR23" s="34">
        <v>1</v>
      </c>
      <c r="GS23" s="34">
        <f>IF(GR23&gt;0.2,0.35,VLOOKUP(GR23,'Density Bonus'!$A$1:$B$15,2,FALSE))</f>
        <v>0.35</v>
      </c>
      <c r="GT23" s="235">
        <f>IF($I23/$AK$3&gt;((1+GS23)*GQ23),(1+GS23)*GQ23,IF(GQ23&gt;($I23/$AK$3),GQ23,($I23/$AK$3)))</f>
        <v>100.2688888888889</v>
      </c>
      <c r="GU23" s="235">
        <f>IF(GS23&gt;0,ROUNDUP(GT23,0),ROUNDDOWN(GT23,0))</f>
        <v>101</v>
      </c>
      <c r="GV23" s="347"/>
      <c r="GW23" s="31">
        <f>IF(ISBLANK($AT23),GR23*GU23,$AT23)</f>
        <v>101</v>
      </c>
      <c r="GX23" s="31">
        <f>GU23-GW23</f>
        <v>0</v>
      </c>
      <c r="GY23" s="196" t="str">
        <f>IF($P23="Yes",$AZ23,IF($E23="Under Agreement",$AZ23,""))</f>
        <v/>
      </c>
      <c r="GZ23" s="238">
        <f>IF(GR23&lt;1,$AG23+($AZ23-GY23),0)</f>
        <v>0</v>
      </c>
      <c r="HA23" s="238">
        <f>SUM(HK23:HM23)</f>
        <v>-1656400</v>
      </c>
      <c r="HB23" s="238">
        <f>HN23+HO23</f>
        <v>0</v>
      </c>
      <c r="HC23" s="238">
        <f t="shared" si="224"/>
        <v>0</v>
      </c>
      <c r="HD23" s="238">
        <f>VLOOKUP($AI23,Funding!$A$1:$G$6,7,FALSE)*HC23</f>
        <v>0</v>
      </c>
      <c r="HE23" s="238">
        <f>SUM(GY23,HD23)</f>
        <v>0</v>
      </c>
      <c r="HF23" s="238">
        <f t="shared" si="226"/>
        <v>-11933352</v>
      </c>
      <c r="HG23" s="238">
        <f>HE23+HF23</f>
        <v>-11933352</v>
      </c>
      <c r="HH23" s="238"/>
      <c r="HI23" s="238">
        <f>IF(HH23="y",GU23*$BF$2,GU23*$BF$3)</f>
        <v>33128000</v>
      </c>
      <c r="HJ23" s="238">
        <v>0</v>
      </c>
      <c r="HK23" s="238">
        <f>IF(GU23&gt;79,IF(GR23&gt;0,-$BJ$2*HI23,0),0)</f>
        <v>-1656400</v>
      </c>
      <c r="HL23" s="238">
        <f>IF(GU23&gt;79,IF(GR23=0,-$BJ$2*HI23,0),0)</f>
        <v>0</v>
      </c>
      <c r="HM23" s="238">
        <f>IF(HJ23&gt;$HM$3,-$BJ$2*HJ23,0)</f>
        <v>0</v>
      </c>
      <c r="HN23" s="238">
        <f>IF(GU23&gt;79,-$BM$2*HI23*(1-GR23),0)</f>
        <v>0</v>
      </c>
      <c r="HO23" s="238">
        <f>IF(HJ23&gt;$HO$3,-$BM$2*HJ23,0)</f>
        <v>0</v>
      </c>
      <c r="HP23" s="397"/>
      <c r="HQ23" s="424" t="s">
        <v>446</v>
      </c>
      <c r="HR23" s="426">
        <f>AH23</f>
        <v>14664325</v>
      </c>
      <c r="HS23" s="425">
        <f t="shared" si="278"/>
        <v>0</v>
      </c>
      <c r="HT23" s="425">
        <f t="shared" si="278"/>
        <v>500</v>
      </c>
      <c r="HU23" s="429">
        <f>J23</f>
        <v>902420</v>
      </c>
      <c r="HV23" s="429">
        <f>K23</f>
        <v>0</v>
      </c>
      <c r="HW23" s="429">
        <f t="shared" si="279"/>
        <v>0</v>
      </c>
      <c r="HX23" s="429">
        <f t="shared" si="279"/>
        <v>0</v>
      </c>
      <c r="HY23" s="429">
        <f t="shared" si="279"/>
        <v>0</v>
      </c>
      <c r="HZ23" s="426">
        <f>IF(BE23="y",$BF$2,$BF$3)</f>
        <v>444000</v>
      </c>
      <c r="IA23" s="426">
        <v>400</v>
      </c>
      <c r="IB23" s="426">
        <v>350</v>
      </c>
      <c r="IC23" s="425"/>
      <c r="ID23" s="425"/>
      <c r="IE23" s="425"/>
      <c r="IF23" s="427">
        <f>(($HR23+((HS23+HT23)*HZ23)+(HU23*IA23)+(HV23*IB23)+(HW23*IC23)+(HX23*ID23))*0.01*0.29)</f>
        <v>1733133.7424999999</v>
      </c>
      <c r="IG23" s="428">
        <f>((1.17*IF23/0.29)*0.39)-IF23</f>
        <v>993862.55647500022</v>
      </c>
      <c r="IH23" s="428">
        <f>HV23*400*0.01</f>
        <v>0</v>
      </c>
      <c r="II23" s="428">
        <f>(HT23*(IF($HQ23="Downtown",$HZ$1,$HZ$2))*12*0.01395)+(HU23*(IF($HQ23="Downtown",$IA$1,$IA$2))*12*0.01395)+(HV23*(IF($HQ23="Downtown",$IB$1,$IB$2))*12*0.01395)+(HW23*(IF($HQ23="Downtown",$IC$1,$IC$2))*12*0.0018)+(HX23*(IF($HQ23="Downtown",$ID$1,$ID$2))*12*0.01395)</f>
        <v>1056645.54</v>
      </c>
      <c r="IJ23" s="428">
        <f>HW23*$IC$1*12*0.14</f>
        <v>0</v>
      </c>
      <c r="IK23" s="428">
        <f>SUM(IF23:IJ23)</f>
        <v>3783641.8389750002</v>
      </c>
      <c r="IL23" s="429">
        <f>(HU23/300)+(HV23/500)+(HW23/1.33)+(HX23/1000)</f>
        <v>3008.0666666666666</v>
      </c>
      <c r="IM23" s="427">
        <f>Sites!AG23</f>
        <v>14664325</v>
      </c>
      <c r="IN23" s="428">
        <f>0.015*IM23</f>
        <v>219964.875</v>
      </c>
      <c r="IO23" s="429">
        <f>(((HS23+HT23)*HZ23)+(HU23*IA23)+(HV23*IB23)+(HW23*IC23)+(HX23*ID23))/$IO$1</f>
        <v>2914.84</v>
      </c>
      <c r="IP23" s="426">
        <f>SUM(IT23:JW23)</f>
        <v>140658401.20156744</v>
      </c>
      <c r="IQ23" s="426">
        <f>NPV(5%,IT23:JW23)</f>
        <v>73713360.151990235</v>
      </c>
      <c r="IR23" s="430">
        <v>2022</v>
      </c>
      <c r="IS23" s="428"/>
      <c r="IT23" s="431"/>
      <c r="IU23" s="431"/>
      <c r="IV23" s="431"/>
      <c r="IW23" s="428"/>
      <c r="IX23" s="428">
        <f>IX$4*$IK23</f>
        <v>4177446.3205966433</v>
      </c>
      <c r="IY23" s="428">
        <f t="shared" si="280"/>
        <v>4260995.2470085761</v>
      </c>
      <c r="IZ23" s="428">
        <f t="shared" si="280"/>
        <v>4346215.1519487472</v>
      </c>
      <c r="JA23" s="428">
        <f t="shared" si="280"/>
        <v>4433139.4549877224</v>
      </c>
      <c r="JB23" s="428">
        <f t="shared" si="280"/>
        <v>4521802.2440874772</v>
      </c>
      <c r="JC23" s="428">
        <f t="shared" si="280"/>
        <v>4612238.2889692262</v>
      </c>
      <c r="JD23" s="428">
        <f t="shared" si="280"/>
        <v>4704483.0547486106</v>
      </c>
      <c r="JE23" s="428">
        <f t="shared" si="280"/>
        <v>4798572.7158435835</v>
      </c>
      <c r="JF23" s="428">
        <f t="shared" si="280"/>
        <v>4894544.1701604547</v>
      </c>
      <c r="JG23" s="428">
        <f t="shared" si="280"/>
        <v>4992435.0535636637</v>
      </c>
      <c r="JH23" s="428">
        <f t="shared" si="280"/>
        <v>5092283.7546349363</v>
      </c>
      <c r="JI23" s="428">
        <f t="shared" si="281"/>
        <v>5194129.4297276353</v>
      </c>
      <c r="JJ23" s="428">
        <f t="shared" si="281"/>
        <v>5298012.0183221884</v>
      </c>
      <c r="JK23" s="428">
        <f t="shared" si="281"/>
        <v>5403972.2586886315</v>
      </c>
      <c r="JL23" s="428">
        <f t="shared" si="281"/>
        <v>5512051.7038624045</v>
      </c>
      <c r="JM23" s="428">
        <f t="shared" si="281"/>
        <v>5622292.737939653</v>
      </c>
      <c r="JN23" s="428">
        <f t="shared" si="281"/>
        <v>5734738.5926984455</v>
      </c>
      <c r="JO23" s="428">
        <f t="shared" si="281"/>
        <v>5849433.364552415</v>
      </c>
      <c r="JP23" s="428">
        <f t="shared" si="281"/>
        <v>5966422.031843462</v>
      </c>
      <c r="JQ23" s="428">
        <f t="shared" si="281"/>
        <v>6085750.4724803315</v>
      </c>
      <c r="JR23" s="428">
        <f t="shared" si="281"/>
        <v>6207465.4819299383</v>
      </c>
      <c r="JS23" s="428">
        <f t="shared" si="281"/>
        <v>6331614.7915685382</v>
      </c>
      <c r="JT23" s="428">
        <f t="shared" si="281"/>
        <v>6458247.0873999074</v>
      </c>
      <c r="JU23" s="428">
        <f t="shared" si="281"/>
        <v>6587412.0291479072</v>
      </c>
      <c r="JV23" s="428">
        <f t="shared" si="281"/>
        <v>6719160.2697308641</v>
      </c>
      <c r="JW23" s="428">
        <f t="shared" si="281"/>
        <v>6853543.4751254814</v>
      </c>
      <c r="JX23" s="432"/>
      <c r="JY23" s="435">
        <f t="shared" si="282"/>
        <v>0</v>
      </c>
      <c r="JZ23" s="435">
        <f t="shared" si="282"/>
        <v>0</v>
      </c>
      <c r="KA23" s="435">
        <f t="shared" si="283"/>
        <v>902420</v>
      </c>
      <c r="KB23" s="435">
        <f t="shared" si="283"/>
        <v>0</v>
      </c>
      <c r="KC23" s="435">
        <f t="shared" si="283"/>
        <v>0</v>
      </c>
      <c r="KD23" s="435">
        <f t="shared" si="283"/>
        <v>0</v>
      </c>
      <c r="KE23" s="435">
        <f t="shared" si="283"/>
        <v>0</v>
      </c>
      <c r="KF23" s="432">
        <f>IF(CI23="y",$BF$2,$BF$3)</f>
        <v>444000</v>
      </c>
      <c r="KG23" s="445">
        <f t="shared" si="284"/>
        <v>400</v>
      </c>
      <c r="KH23" s="445">
        <f t="shared" si="284"/>
        <v>350</v>
      </c>
      <c r="KI23" s="445">
        <f t="shared" si="284"/>
        <v>0</v>
      </c>
      <c r="KJ23" s="445">
        <f t="shared" si="284"/>
        <v>0</v>
      </c>
      <c r="KK23" s="445">
        <f t="shared" si="284"/>
        <v>0</v>
      </c>
      <c r="KL23" s="434">
        <f>(($HR23+(JZ23*KF23)+(KA23*KG23)+(KB23*KH23)+(KC23*KI23)+(KD23*KJ23))*0.01*0.29)</f>
        <v>1089333.7424999999</v>
      </c>
      <c r="KM23" s="432">
        <f>((1.17*KL23/0.29)*0.39)-KL23</f>
        <v>624676.55647499999</v>
      </c>
      <c r="KN23" s="432">
        <f>KB23*400*0.01</f>
        <v>0</v>
      </c>
      <c r="KO23" s="432">
        <f>(JZ23*(IF($HQ23="Downtown",$HZ$1,$HZ$2))*12*0.01395)+(KA23*(IF($HQ23="Downtown",$IA$1,$IA$2))*12*0.01395)+(KB23*(IF($HQ23="Downtown",$IB$1,$IB$2))*12*0.01395)+(KC23*(IF($HQ23="Downtown",$IC$1,$IC$2))*12*0.0018)+(KD23*(IF($HQ23="Downtown",$ID$1,$ID$2))*12*0.01395)</f>
        <v>755325.54</v>
      </c>
      <c r="KP23" s="432">
        <f>KC23*$IC$1*12*0.14</f>
        <v>0</v>
      </c>
      <c r="KQ23" s="432">
        <f>SUM(KL23:KP23)</f>
        <v>2469335.8389750002</v>
      </c>
      <c r="KR23" s="435">
        <f>(KA23/300)+(KB23/500)+(KC23/1.33)+(KD23/1000)</f>
        <v>3008.0666666666666</v>
      </c>
      <c r="KS23" s="434">
        <f>CD23</f>
        <v>14664325</v>
      </c>
      <c r="KT23" s="432">
        <f>0.015*KS23</f>
        <v>219964.875</v>
      </c>
      <c r="KU23" s="435">
        <f>(((JY23+JZ23)*KF23)+(KA23*KG23)+(KB23*KH23)+(KC23*KI23)+(KD23*KJ23))/$IO$1</f>
        <v>1804.84</v>
      </c>
      <c r="KV23" s="433">
        <f>SUM(KZ23:MC23)</f>
        <v>91798549.102112755</v>
      </c>
      <c r="KW23" s="433">
        <f>NPV(5%,KZ23:MC23)</f>
        <v>48107894.399405353</v>
      </c>
      <c r="KX23" s="436">
        <f>IR23</f>
        <v>2022</v>
      </c>
      <c r="KY23" s="411"/>
      <c r="KZ23" s="411"/>
      <c r="LA23" s="411"/>
      <c r="LB23" s="411"/>
      <c r="LC23" s="411"/>
      <c r="LD23" s="446">
        <f>LD$4*$KQ23</f>
        <v>2726346.2964660642</v>
      </c>
      <c r="LE23" s="446">
        <f t="shared" si="285"/>
        <v>2780873.2223953856</v>
      </c>
      <c r="LF23" s="446">
        <f t="shared" si="285"/>
        <v>2836490.6868432928</v>
      </c>
      <c r="LG23" s="446">
        <f t="shared" si="285"/>
        <v>2893220.5005801586</v>
      </c>
      <c r="LH23" s="446">
        <f t="shared" si="285"/>
        <v>2951084.910591762</v>
      </c>
      <c r="LI23" s="446">
        <f t="shared" si="285"/>
        <v>3010106.6088035973</v>
      </c>
      <c r="LJ23" s="446">
        <f t="shared" si="285"/>
        <v>3070308.7409796687</v>
      </c>
      <c r="LK23" s="446">
        <f t="shared" si="285"/>
        <v>3131714.9157992625</v>
      </c>
      <c r="LL23" s="446">
        <f t="shared" si="285"/>
        <v>3194349.2141152476</v>
      </c>
      <c r="LM23" s="446">
        <f t="shared" si="285"/>
        <v>3258236.1983975531</v>
      </c>
      <c r="LN23" s="446">
        <f t="shared" si="285"/>
        <v>3323400.9223655029</v>
      </c>
      <c r="LO23" s="446">
        <f t="shared" si="286"/>
        <v>3389868.9408128136</v>
      </c>
      <c r="LP23" s="446">
        <f t="shared" si="286"/>
        <v>3457666.3196290703</v>
      </c>
      <c r="LQ23" s="446">
        <f t="shared" si="286"/>
        <v>3526819.6460216511</v>
      </c>
      <c r="LR23" s="446">
        <f t="shared" si="286"/>
        <v>3597356.0389420842</v>
      </c>
      <c r="LS23" s="446">
        <f t="shared" si="286"/>
        <v>3669303.1597209261</v>
      </c>
      <c r="LT23" s="446">
        <f t="shared" si="286"/>
        <v>3742689.2229153444</v>
      </c>
      <c r="LU23" s="446">
        <f t="shared" si="286"/>
        <v>3817543.0073736515</v>
      </c>
      <c r="LV23" s="446">
        <f t="shared" si="286"/>
        <v>3893893.867521124</v>
      </c>
      <c r="LW23" s="446">
        <f t="shared" si="286"/>
        <v>3971771.7448715465</v>
      </c>
      <c r="LX23" s="446">
        <f t="shared" si="286"/>
        <v>4051207.1797689777</v>
      </c>
      <c r="LY23" s="446">
        <f t="shared" si="286"/>
        <v>4132231.3233643575</v>
      </c>
      <c r="LZ23" s="446">
        <f t="shared" si="286"/>
        <v>4214875.9498316441</v>
      </c>
      <c r="MA23" s="446">
        <f t="shared" si="286"/>
        <v>4299173.4688282777</v>
      </c>
      <c r="MB23" s="446">
        <f t="shared" si="286"/>
        <v>4385156.9382048426</v>
      </c>
      <c r="MC23" s="446">
        <f t="shared" si="286"/>
        <v>4472860.07696894</v>
      </c>
      <c r="MD23" s="496"/>
      <c r="ME23" s="497">
        <f t="shared" si="287"/>
        <v>0</v>
      </c>
      <c r="MF23" s="497">
        <f t="shared" si="287"/>
        <v>0</v>
      </c>
      <c r="MG23" s="497">
        <f t="shared" si="287"/>
        <v>0</v>
      </c>
      <c r="MH23" s="497">
        <f t="shared" si="287"/>
        <v>0</v>
      </c>
      <c r="MI23" s="497">
        <f t="shared" si="287"/>
        <v>0</v>
      </c>
      <c r="MJ23" s="498">
        <f t="shared" si="288"/>
        <v>400</v>
      </c>
      <c r="MK23" s="498">
        <f t="shared" si="288"/>
        <v>350</v>
      </c>
      <c r="ML23" s="498">
        <f t="shared" si="288"/>
        <v>0</v>
      </c>
      <c r="MM23" s="498">
        <f t="shared" si="288"/>
        <v>0</v>
      </c>
      <c r="MN23" s="498">
        <f t="shared" si="288"/>
        <v>0</v>
      </c>
      <c r="MO23" s="454"/>
      <c r="MP23" s="448">
        <f t="shared" si="289"/>
        <v>101</v>
      </c>
      <c r="MQ23" s="448">
        <f t="shared" si="289"/>
        <v>0</v>
      </c>
      <c r="MR23" s="448">
        <f t="shared" si="290"/>
        <v>0</v>
      </c>
      <c r="MS23" s="448">
        <f t="shared" si="290"/>
        <v>0</v>
      </c>
      <c r="MT23" s="448">
        <f t="shared" si="290"/>
        <v>0</v>
      </c>
      <c r="MU23" s="448">
        <f t="shared" si="290"/>
        <v>0</v>
      </c>
      <c r="MV23" s="448">
        <f t="shared" si="290"/>
        <v>0</v>
      </c>
      <c r="MW23" s="450">
        <f>IF(HH23="y",$BF$2,$BF$3)</f>
        <v>328000</v>
      </c>
      <c r="MX23" s="450">
        <f t="shared" si="291"/>
        <v>400</v>
      </c>
      <c r="MY23" s="450">
        <f t="shared" si="291"/>
        <v>350</v>
      </c>
      <c r="MZ23" s="450">
        <f t="shared" si="291"/>
        <v>0</v>
      </c>
      <c r="NA23" s="450">
        <f t="shared" si="291"/>
        <v>0</v>
      </c>
      <c r="NB23" s="450">
        <f t="shared" si="291"/>
        <v>0</v>
      </c>
      <c r="NC23" s="451">
        <f>IF($P23="Yes",$IF23,IF($E23="Under Agreement",$IF23,0))</f>
        <v>0</v>
      </c>
      <c r="ND23" s="449">
        <f>((1.17*NC23/0.29)*0.39)-NC23</f>
        <v>0</v>
      </c>
      <c r="NE23" s="449">
        <f>MS23*400*0.01</f>
        <v>0</v>
      </c>
      <c r="NF23" s="449">
        <f>(MQ23*(IF($HQ23="Downtown",$HZ$1,$HZ$2))*12*0.01395)+(MR23*(IF($HQ23="Downtown",$IA$1,$IA$2))*12*0.01395)+(MS23*(IF($HQ23="Downtown",$IB$1,$IB$2))*12*0.01395)+(MT23*(IF($HQ23="Downtown",$IC$1,$IC$2))*12*0.0018)+(MU23*(IF($HQ23="Downtown",$ID$1,$ID$2))*12*0.01395)</f>
        <v>0</v>
      </c>
      <c r="NG23" s="449">
        <f>MT23*$IC$1*12*0.14</f>
        <v>0</v>
      </c>
      <c r="NH23" s="449">
        <f>SUM(NC23:NG23)</f>
        <v>0</v>
      </c>
      <c r="NI23" s="448">
        <f>(MR23/300)+(MS23/500)+(MT23/1.33)+(MU23/1000)</f>
        <v>0</v>
      </c>
      <c r="NJ23" s="451">
        <f>GZ23</f>
        <v>0</v>
      </c>
      <c r="NK23" s="449">
        <f>0.015*NJ23</f>
        <v>0</v>
      </c>
      <c r="NL23" s="448">
        <f>(((MP23+MQ23)*MW23)+(MR23*MX23)+(MS23*MY23)+(MT23*MZ23)+(MU23*NA23))/$IO$1</f>
        <v>165.64</v>
      </c>
      <c r="NM23" s="452">
        <f>SUM(NQ23:OT23)</f>
        <v>0</v>
      </c>
      <c r="NN23" s="452">
        <f>NPV(5%,NQ23:OT23)</f>
        <v>0</v>
      </c>
      <c r="NO23" s="453">
        <f>KX23</f>
        <v>2022</v>
      </c>
      <c r="NP23" s="423"/>
      <c r="NQ23" s="423"/>
      <c r="NR23" s="423"/>
      <c r="NS23" s="423"/>
      <c r="NT23" s="423"/>
      <c r="NU23" s="454">
        <f>NU$4*$NH23</f>
        <v>0</v>
      </c>
      <c r="NV23" s="454">
        <f t="shared" si="292"/>
        <v>0</v>
      </c>
      <c r="NW23" s="454">
        <f t="shared" si="292"/>
        <v>0</v>
      </c>
      <c r="NX23" s="454">
        <f t="shared" si="292"/>
        <v>0</v>
      </c>
      <c r="NY23" s="454">
        <f t="shared" si="292"/>
        <v>0</v>
      </c>
      <c r="NZ23" s="454">
        <f t="shared" si="292"/>
        <v>0</v>
      </c>
      <c r="OA23" s="454">
        <f t="shared" si="292"/>
        <v>0</v>
      </c>
      <c r="OB23" s="454">
        <f t="shared" si="292"/>
        <v>0</v>
      </c>
      <c r="OC23" s="454">
        <f t="shared" si="292"/>
        <v>0</v>
      </c>
      <c r="OD23" s="454">
        <f t="shared" si="292"/>
        <v>0</v>
      </c>
      <c r="OE23" s="454">
        <f t="shared" si="292"/>
        <v>0</v>
      </c>
      <c r="OF23" s="454">
        <f t="shared" si="293"/>
        <v>0</v>
      </c>
      <c r="OG23" s="454">
        <f t="shared" si="293"/>
        <v>0</v>
      </c>
      <c r="OH23" s="454">
        <f t="shared" si="293"/>
        <v>0</v>
      </c>
      <c r="OI23" s="454">
        <f t="shared" si="293"/>
        <v>0</v>
      </c>
      <c r="OJ23" s="454">
        <f t="shared" si="293"/>
        <v>0</v>
      </c>
      <c r="OK23" s="454">
        <f t="shared" si="293"/>
        <v>0</v>
      </c>
      <c r="OL23" s="454">
        <f t="shared" si="293"/>
        <v>0</v>
      </c>
      <c r="OM23" s="454">
        <f t="shared" si="293"/>
        <v>0</v>
      </c>
      <c r="ON23" s="454">
        <f t="shared" si="293"/>
        <v>0</v>
      </c>
      <c r="OO23" s="454">
        <f t="shared" si="293"/>
        <v>0</v>
      </c>
      <c r="OP23" s="454">
        <f t="shared" si="293"/>
        <v>0</v>
      </c>
      <c r="OQ23" s="454">
        <f t="shared" si="293"/>
        <v>0</v>
      </c>
      <c r="OR23" s="454">
        <f t="shared" si="293"/>
        <v>0</v>
      </c>
      <c r="OS23" s="454">
        <f t="shared" si="293"/>
        <v>0</v>
      </c>
      <c r="OT23" s="454">
        <f t="shared" si="293"/>
        <v>0</v>
      </c>
    </row>
    <row r="24" spans="1:410" s="11" customFormat="1">
      <c r="A24" s="19" t="s">
        <v>391</v>
      </c>
      <c r="B24" s="19" t="s">
        <v>412</v>
      </c>
      <c r="C24" s="19" t="s">
        <v>392</v>
      </c>
      <c r="D24" s="19">
        <v>1</v>
      </c>
      <c r="E24" s="19" t="s">
        <v>293</v>
      </c>
      <c r="F24" s="19" t="s">
        <v>279</v>
      </c>
      <c r="G24" s="22" t="s">
        <v>53</v>
      </c>
      <c r="H24" s="20">
        <v>0</v>
      </c>
      <c r="I24" s="442">
        <v>31031</v>
      </c>
      <c r="J24" s="20">
        <f>I24*3</f>
        <v>93093</v>
      </c>
      <c r="K24" s="20"/>
      <c r="L24" s="20"/>
      <c r="M24" s="20"/>
      <c r="N24" s="20"/>
      <c r="O24" s="442">
        <f>SUM(J24:N24)</f>
        <v>93093</v>
      </c>
      <c r="P24" s="21"/>
      <c r="Q24" s="21" t="s">
        <v>393</v>
      </c>
      <c r="R24" s="27">
        <f>I24/AJ24</f>
        <v>68.957777777777778</v>
      </c>
      <c r="S24" s="457">
        <v>2.5</v>
      </c>
      <c r="T24" s="27">
        <f>I24*S24</f>
        <v>77577.5</v>
      </c>
      <c r="U24" s="21" t="s">
        <v>473</v>
      </c>
      <c r="V24" s="19"/>
      <c r="W24" s="22"/>
      <c r="X24" s="19"/>
      <c r="Y24" s="19"/>
      <c r="Z24" s="19" t="s">
        <v>3</v>
      </c>
      <c r="AA24" s="219"/>
      <c r="AB24" s="219"/>
      <c r="AC24" s="224">
        <v>225</v>
      </c>
      <c r="AD24" s="224">
        <f>AC24*I24</f>
        <v>6981975</v>
      </c>
      <c r="AE24" s="24"/>
      <c r="AF24" s="273"/>
      <c r="AG24" s="220">
        <f>IF(ISBLANK(AE24),AD24,AE24)</f>
        <v>6981975</v>
      </c>
      <c r="AH24" s="220">
        <f>AG24</f>
        <v>6981975</v>
      </c>
      <c r="AI24" s="24" t="s">
        <v>252</v>
      </c>
      <c r="AJ24" s="228">
        <f>VLOOKUP($Q24,'Zoning Density'!$A$1:$E$28,3,)</f>
        <v>450</v>
      </c>
      <c r="AK24" s="228">
        <f>IF(AJ24=0,0,(IF(AJ24&gt;$AK$3,AJ24,$AK$3)))</f>
        <v>450</v>
      </c>
      <c r="AL24" s="229">
        <f>IF(AJ24&gt;0,I24/AJ24,0)</f>
        <v>68.957777777777778</v>
      </c>
      <c r="AM24" s="229">
        <f>IF(AK24&gt;0,I24/$AK24,0)</f>
        <v>68.957777777777778</v>
      </c>
      <c r="AN24" s="228">
        <v>1</v>
      </c>
      <c r="AO24" s="221">
        <f>VLOOKUP($AI24,Funding!$A$1:$G$6,3,FALSE)*$AG24</f>
        <v>0</v>
      </c>
      <c r="AP24" s="221">
        <f>VLOOKUP($AI24,Funding!$A$1:$G$6,4,FALSE)*$AG24</f>
        <v>6981975</v>
      </c>
      <c r="AQ24" s="351"/>
      <c r="AR24" s="274"/>
      <c r="AS24" s="222">
        <f>IF(ISBLANK(AQ24),ROUNDDOWN($AM24,0),ROUNDDOWN(AQ24,0))</f>
        <v>68</v>
      </c>
      <c r="AT24" s="222"/>
      <c r="AU24" s="222">
        <f>AS24-AT24</f>
        <v>68</v>
      </c>
      <c r="AV24" s="221">
        <f>VLOOKUP($AN24,'Impact Fee'!$A$1:$E$20,5,FALSE)*AU24</f>
        <v>1496000</v>
      </c>
      <c r="AW24" s="221">
        <f>IF(P24="yes",IF((J24+M24)&gt;25000,(J24+M24-25000)*6,0),0)</f>
        <v>0</v>
      </c>
      <c r="AX24" s="221"/>
      <c r="AY24" s="321"/>
      <c r="AZ24" s="221">
        <f>IF(ISBLANK(AX24),AV24+AW24,AX24)</f>
        <v>1496000</v>
      </c>
      <c r="BA24" s="221">
        <f>AO24+AZ24</f>
        <v>1496000</v>
      </c>
      <c r="BB24" s="221">
        <f>AP24+AZ24</f>
        <v>8477975</v>
      </c>
      <c r="BC24" s="271">
        <f t="shared" si="276"/>
        <v>11.968</v>
      </c>
      <c r="BD24" s="271">
        <f t="shared" si="277"/>
        <v>67.823800000000006</v>
      </c>
      <c r="BE24" s="271"/>
      <c r="BF24" s="221">
        <f>IF(BE24="y",AS24*$BF$2,AS24*$BF$3)</f>
        <v>22304000</v>
      </c>
      <c r="BG24" s="221">
        <f>($HU24*$IA24)+($HV24*$IB24)+($HX24*$ID24)+($HY24*$IE24)</f>
        <v>0</v>
      </c>
      <c r="BH24" s="221">
        <f>IF(AU24&gt;79,-$BJ$2*BF24,0)</f>
        <v>0</v>
      </c>
      <c r="BI24" s="221">
        <f>IF(BG24&gt;$BI$3,-$BJ$2*BG24,0)</f>
        <v>0</v>
      </c>
      <c r="BJ24" s="221">
        <f>BH24+BI24</f>
        <v>0</v>
      </c>
      <c r="BK24" s="221">
        <f>IF(AU24&gt;79,-$BM$2*BF24,0)</f>
        <v>0</v>
      </c>
      <c r="BL24" s="221">
        <f>IF(BG24&gt;$BL$3,-$BM$2*BG24,0)</f>
        <v>0</v>
      </c>
      <c r="BM24" s="221">
        <f>BK24+BL24</f>
        <v>0</v>
      </c>
      <c r="BN24" s="259">
        <v>0</v>
      </c>
      <c r="BO24" s="260"/>
      <c r="BP24" s="259">
        <f>IF(ISBLANK(BN24),ROUNDDOWN(AS24,0),ROUNDDOWN(BN24,0))</f>
        <v>0</v>
      </c>
      <c r="BQ24" s="261">
        <v>0</v>
      </c>
      <c r="BR24" s="261">
        <f>IF(BQ24&gt;0.2,0.35,VLOOKUP(BQ24,'Density Bonus'!$A$1:$B$15,2,FALSE))</f>
        <v>0</v>
      </c>
      <c r="BS24" s="262">
        <f>IF($I24/$AK$3&gt;((1+BR24)*BP24),(1+BR24)*BP24,IF(BP24&gt;($I24/$AK$3),BP24,($I24/$AK$3)))</f>
        <v>0</v>
      </c>
      <c r="BT24" s="262">
        <f>IF(BR24&gt;0,ROUNDUP(BS24,0),ROUNDDOWN(BS24,0))</f>
        <v>0</v>
      </c>
      <c r="BU24" s="349"/>
      <c r="BV24" s="263">
        <f>BQ24*BT24</f>
        <v>0</v>
      </c>
      <c r="BW24" s="263">
        <f>BT24-BV24</f>
        <v>0</v>
      </c>
      <c r="BX24" s="264">
        <f>IF(F24="Commercial",IF((J24+M24)&gt;25000,(J24+M24-25000)*6,0),0)</f>
        <v>408558</v>
      </c>
      <c r="BY24" s="264">
        <f>IF(BQ24&lt;0.15,(VLOOKUP($AN24,'Impact Fee'!$A$1:$E$10,5,FALSE)*BW24),0)</f>
        <v>0</v>
      </c>
      <c r="BZ24" s="264">
        <f>BX24+BY24</f>
        <v>408558</v>
      </c>
      <c r="CA24" s="264">
        <f>IF(BQ24&lt;1,IF(BY24&gt;0,$AG24+($AZ24-BZ24),$AG24),0)</f>
        <v>6981975</v>
      </c>
      <c r="CB24" s="264">
        <f>IF(BQ24&lt;0.15,BW24*IF(CI24="y",$CC$2,$CC$3),0)</f>
        <v>0</v>
      </c>
      <c r="CC24" s="264">
        <f>IF(CB24&gt;CA24,CA24,CB24)</f>
        <v>0</v>
      </c>
      <c r="CD24" s="264">
        <f>IF(BQ24&lt;1,$AG24,0)</f>
        <v>6981975</v>
      </c>
      <c r="CE24" s="264">
        <f>CD24*IF(F24="Commercial",CE$3,VLOOKUP($AI24,Funding!$A$1:$G$6,5,FALSE))</f>
        <v>2792790</v>
      </c>
      <c r="CF24" s="264">
        <f>SUM(BZ24,CC24,CE24)</f>
        <v>3201348</v>
      </c>
      <c r="CG24" s="264">
        <f>BV24*$CG$3</f>
        <v>0</v>
      </c>
      <c r="CH24" s="264">
        <f>CF24+CG24</f>
        <v>3201348</v>
      </c>
      <c r="CI24" s="264"/>
      <c r="CJ24" s="264">
        <f>IF(CI24="y",BT24*$BF$2,BT24*$BF$3)</f>
        <v>0</v>
      </c>
      <c r="CK24" s="264">
        <f>($KA24*$KG24)+($KB24*$KH24)+($KD24*$KJ24)+($KE24*$KK24)</f>
        <v>25135110</v>
      </c>
      <c r="CL24" s="264">
        <f>IF(BT24&gt;79,IF(BQ24&gt;0,-$BJ$2*CJ24,0),0)</f>
        <v>0</v>
      </c>
      <c r="CM24" s="264">
        <f>IF(BT24&gt;79,IF(BQ24=0,-$BJ$2*CJ24,0),0)</f>
        <v>0</v>
      </c>
      <c r="CN24" s="264">
        <f>IF(CK24&gt;$CN$3,-$BJ$2*CK24,0)</f>
        <v>0</v>
      </c>
      <c r="CO24" s="264">
        <f>SUM(CL24:CN24)</f>
        <v>0</v>
      </c>
      <c r="CP24" s="264">
        <f>IF(BT24&gt;79,-$BM$2*CJ24*(1-BQ24),0)</f>
        <v>0</v>
      </c>
      <c r="CQ24" s="264">
        <f>IF(CK24&gt;$CQ$3,-$BM$2*CK24,0)</f>
        <v>0</v>
      </c>
      <c r="CR24" s="264">
        <f>CP24+CQ24</f>
        <v>0</v>
      </c>
      <c r="CS24" s="520"/>
      <c r="CT24" s="521"/>
      <c r="CU24" s="520">
        <f>IF(ISBLANK(CS24),ROUNDDOWN($AS24,0),ROUNDDOWN(CS24,0))</f>
        <v>68</v>
      </c>
      <c r="CV24" s="522">
        <v>0.15</v>
      </c>
      <c r="CW24" s="522">
        <f>IF(CV24&gt;0.2,0.35,VLOOKUP(CV24,'Density Bonus'!$A$1:$B$15,2,FALSE))</f>
        <v>0.27500000000000002</v>
      </c>
      <c r="CX24" s="523">
        <f>IF($I24/$AK$3&gt;((1+CW24)*CU24),(1+CW24)*CU24,IF(CU24&gt;($I24/$AK$3),CU24,($I24/$AK$3)))</f>
        <v>68.957777777777778</v>
      </c>
      <c r="CY24" s="523">
        <f>IF(CW24&gt;0,ROUNDUP(CX24,0),ROUNDDOWN(CX24,0))</f>
        <v>69</v>
      </c>
      <c r="CZ24" s="347"/>
      <c r="DA24" s="524">
        <f>IF(ISBLANK($AT24),ROUND(CV24*CY24,0),$AT24)</f>
        <v>10</v>
      </c>
      <c r="DB24" s="524">
        <f>CY24-DA24</f>
        <v>59</v>
      </c>
      <c r="DC24" s="525">
        <f>IF($P24="Yes",$AZ24,IF($E24="Under Agreement",$AZ24,0))</f>
        <v>0</v>
      </c>
      <c r="DD24" s="525">
        <f>IF(CV24&lt;0.4,VLOOKUP($AN24,'Impact Fee'!$A$1:$E$10,5,FALSE)*DB24,0)</f>
        <v>1298000</v>
      </c>
      <c r="DE24" s="525">
        <f>IF(CV24&lt;1,DC24+DD24,0)</f>
        <v>1298000</v>
      </c>
      <c r="DF24" s="525">
        <f>IF(CV24&lt;1,$AG24+DD24,0)</f>
        <v>8279975</v>
      </c>
      <c r="DG24" s="525">
        <f>IF(CV24&lt;1,IF(DS24="y",DA24*$DG$2,DA24*$DG$3),DA24*$HF$3)</f>
        <v>2245663.9999999995</v>
      </c>
      <c r="DH24" s="525">
        <f>IF(CV24&lt;0.4,(0.4-CV24)*CY24*$DH$3,0)</f>
        <v>1755222</v>
      </c>
      <c r="DI24" s="525">
        <f>DF24-(DG24-DL24-DM24)</f>
        <v>6034311</v>
      </c>
      <c r="DJ24" s="525">
        <f>IF(DI24&gt;0,IF(DH24&gt;DI24,DI24,DH24),0)</f>
        <v>1755222</v>
      </c>
      <c r="DK24" s="525">
        <f>IF(CV24&lt;1,IF((DF24-(DG24+DJ24))&gt;0,DF24-(DG24+DJ24),0),0)</f>
        <v>4279089</v>
      </c>
      <c r="DL24" s="525">
        <f>SUM(DV24:DX24)</f>
        <v>0</v>
      </c>
      <c r="DM24" s="525">
        <f>DY24+DZ24</f>
        <v>0</v>
      </c>
      <c r="DN24" s="525">
        <f>IF(CV24&lt;1,IF((DF24-(DG24+DJ24-DL24-DM24))&gt;0,DF24-(DG24+DJ24-DL24-DM24),0),0)</f>
        <v>4279089</v>
      </c>
      <c r="DO24" s="525">
        <f>VLOOKUP($AI24,Funding!$A$1:$G$6,6,FALSE)*DN24</f>
        <v>4279089</v>
      </c>
      <c r="DP24" s="525">
        <f>SUM(DC24,DJ24,DO24)</f>
        <v>6034311</v>
      </c>
      <c r="DQ24" s="525">
        <f>IF((DF24-(DG24+DJ24-DL24-DM24))&lt;0,DF24-(DG24+DJ24-DL24-DM24),0)</f>
        <v>0</v>
      </c>
      <c r="DR24" s="525">
        <f>DP24+DQ24</f>
        <v>6034311</v>
      </c>
      <c r="DS24" s="525"/>
      <c r="DT24" s="525">
        <f>IF(DS24="y",CY24*$BF$2,CY24*$BF$3)</f>
        <v>22632000</v>
      </c>
      <c r="DU24" s="525">
        <f>($ME24*$MJ24)+($MF24*$MK24)+($MH24*$MM24)+($MI24*$MN24)</f>
        <v>0</v>
      </c>
      <c r="DV24" s="525">
        <f>IF(CY24&gt;79,IF(CV24&gt;0,-$BJ$2*DT24,0),0)</f>
        <v>0</v>
      </c>
      <c r="DW24" s="525">
        <f>IF(CY24&gt;79,IF(CV24=0,-$BJ$2*DT24,0),0)</f>
        <v>0</v>
      </c>
      <c r="DX24" s="525">
        <f>IF(DU24&gt;$DX$3,-$BJ$2*DU24,0)</f>
        <v>0</v>
      </c>
      <c r="DY24" s="525">
        <f>IF(CY24&gt;79,IF(CV24=1,0,-$BM$2*DT24),0)</f>
        <v>0</v>
      </c>
      <c r="DZ24" s="525">
        <f>IF(DU24&gt;$DZ$3,-$BM$2*DU24,0)</f>
        <v>0</v>
      </c>
      <c r="EA24" s="819"/>
      <c r="EB24" s="820"/>
      <c r="EC24" s="819">
        <f>IF(ISBLANK(EA24),ROUNDDOWN($AS24,0),ROUNDDOWN(EA24,0))</f>
        <v>68</v>
      </c>
      <c r="ED24" s="821">
        <v>0.15</v>
      </c>
      <c r="EE24" s="821">
        <f>IF(ED24&gt;0.2,0.35,VLOOKUP(ED24,'Density Bonus'!$A$1:$B$15,2,FALSE))</f>
        <v>0.27500000000000002</v>
      </c>
      <c r="EF24" s="822">
        <f>IF($I24/$AK$3&gt;((1+EE24)*EC24),(1+EE24)*EC24,IF(EC24&gt;($I24/$AK$3),EC24,($I24/$AK$3)))</f>
        <v>68.957777777777778</v>
      </c>
      <c r="EG24" s="822">
        <f>IF(EE24&gt;0,ROUNDUP(EF24,0),ROUNDDOWN(EF24,0))</f>
        <v>69</v>
      </c>
      <c r="EH24" s="823"/>
      <c r="EI24" s="824">
        <f>IF(ISBLANK($AT24),ROUND(ED24*EG24,0),$AT24)</f>
        <v>10</v>
      </c>
      <c r="EJ24" s="824">
        <f>EG24-EI24</f>
        <v>59</v>
      </c>
      <c r="EK24" s="825">
        <f>IF($P24="Yes",$AZ24,IF($E24="Under Agreement",$AZ24,0))</f>
        <v>0</v>
      </c>
      <c r="EL24" s="825">
        <f>IF(ED24&lt;0.4,VLOOKUP($AN24,'Impact Fee'!$A$1:$E$10,5,FALSE)*EJ24,0)</f>
        <v>1298000</v>
      </c>
      <c r="EM24" s="825">
        <f>IF(ED24&lt;1,EK24+EL24,0)</f>
        <v>1298000</v>
      </c>
      <c r="EN24" s="825">
        <f>IF(ED24&lt;1,$AG24+EL24,0)</f>
        <v>8279975</v>
      </c>
      <c r="EO24" s="825">
        <f>IF(ED24&lt;1,IF(FA24="y",EI24*$DG$2,EI24*$DG$3),EI24*$HF$3)</f>
        <v>2245663.9999999995</v>
      </c>
      <c r="EP24" s="825">
        <f>IF(ED24&lt;0.4,(0.4-ED24)*EG24*$DH$3,0)</f>
        <v>1755222</v>
      </c>
      <c r="EQ24" s="825">
        <f>EN24-(EO24-ET24-EU24)</f>
        <v>6034311</v>
      </c>
      <c r="ER24" s="825">
        <f>IF(EQ24&gt;0,IF(EP24&gt;EQ24,EQ24,EP24),0)</f>
        <v>1755222</v>
      </c>
      <c r="ES24" s="825">
        <f>IF(ED24&lt;1,IF((EN24-(EO24+ER24))&gt;0,EN24-(EO24+ER24),0),0)</f>
        <v>4279089</v>
      </c>
      <c r="ET24" s="825">
        <f>SUM(FD24:FF24)</f>
        <v>0</v>
      </c>
      <c r="EU24" s="825">
        <f>FG24+FH24</f>
        <v>0</v>
      </c>
      <c r="EV24" s="825">
        <f>IF(ED24&lt;1,IF((EN24-(EO24+ER24-ET24-EU24))&gt;0,EN24-(EO24+ER24-ET24-EU24),0),0)</f>
        <v>4279089</v>
      </c>
      <c r="EW24" s="825">
        <f>VLOOKUP($AI24,Funding!$A$1:$G$6,6,FALSE)*EV24</f>
        <v>4279089</v>
      </c>
      <c r="EX24" s="825">
        <f>SUM(EK24,ER24,EW24)</f>
        <v>6034311</v>
      </c>
      <c r="EY24" s="825">
        <f>IF((EN24-(EO24+ER24-ET24-EU24))&lt;0,EN24-(EO24+ER24-ET24-EU24),0)</f>
        <v>0</v>
      </c>
      <c r="EZ24" s="825">
        <f>EX24+EY24</f>
        <v>6034311</v>
      </c>
      <c r="FA24" s="825"/>
      <c r="FB24" s="825">
        <f>IF(FA24="y",EG24*$BF$2,EG24*$BF$3)</f>
        <v>22632000</v>
      </c>
      <c r="FC24" s="825">
        <f>($ME24*$MJ24)+($MF24*$MK24)+($MH24*$MM24)+($MI24*$MN24)</f>
        <v>0</v>
      </c>
      <c r="FD24" s="825">
        <f>IF(EG24&gt;79,IF(ED24&gt;0,-$BJ$2*FB24,0),0)</f>
        <v>0</v>
      </c>
      <c r="FE24" s="825">
        <f>IF(EG24&gt;79,IF(ED24=0,-$BJ$2*FB24,0),0)</f>
        <v>0</v>
      </c>
      <c r="FF24" s="825">
        <f>IF(FC24&gt;$DX$3,-$BJ$2*FC24,0)</f>
        <v>0</v>
      </c>
      <c r="FG24" s="825">
        <f>IF(EG24&gt;79,IF(ED24=1,0,-$BM$2*FB24),0)</f>
        <v>0</v>
      </c>
      <c r="FH24" s="825">
        <f>IF(FC24&gt;$DZ$3,-$BM$2*FC24,0)</f>
        <v>0</v>
      </c>
      <c r="FI24" s="545"/>
      <c r="FJ24" s="546"/>
      <c r="FK24" s="546"/>
      <c r="FL24" s="545">
        <f>IF(ISBLANK(FI24),ROUNDDOWN($AS24,0),ROUNDDOWN(FI24,0))</f>
        <v>68</v>
      </c>
      <c r="FM24" s="547">
        <v>0.15</v>
      </c>
      <c r="FN24" s="547">
        <f>IF(FM24&gt;0.2,0.35,VLOOKUP(FM24,'Density Bonus'!$A$1:$B$15,2,FALSE))</f>
        <v>0.27500000000000002</v>
      </c>
      <c r="FO24" s="548">
        <f>IF($I24/$AK$3&gt;((1+FN24)*FL24),(1+FN24)*FL24,IF(FL24&gt;($I24/$AK$3),FL24,($I24/$AK$3)))</f>
        <v>68.957777777777778</v>
      </c>
      <c r="FP24" s="548">
        <f>IF(FN24&gt;0,ROUNDUP(FO24,0),ROUNDDOWN(FO24,0))</f>
        <v>69</v>
      </c>
      <c r="FQ24" s="347"/>
      <c r="FR24" s="549">
        <f>IF(ISBLANK($AT24),ROUND(FM24*FP24,0),$AT24)</f>
        <v>10</v>
      </c>
      <c r="FS24" s="549">
        <f>FP24-FR24</f>
        <v>59</v>
      </c>
      <c r="FT24" s="550">
        <f>IF($P24="Yes",$AZ24,IF($E24="Under Agreement",$AZ24,0))</f>
        <v>0</v>
      </c>
      <c r="FU24" s="550">
        <f>IF(FM24&lt;0.15,(VLOOKUP($AN24,'Impact Fee'!$A$1:$E$10,5,FALSE)*FS24),0)</f>
        <v>0</v>
      </c>
      <c r="FV24" s="550">
        <f>FT24+FU24</f>
        <v>0</v>
      </c>
      <c r="FW24" s="550">
        <f>$AG24</f>
        <v>6981975</v>
      </c>
      <c r="FX24" s="550">
        <f>IF(GE24="y",FR24*$FX$2,FR24*$FX$3)</f>
        <v>2245663.9999999995</v>
      </c>
      <c r="FY24" s="550">
        <f>IF(FM24&lt;0.4,(0.4-FM24)*FP24*FY$3,0)</f>
        <v>0</v>
      </c>
      <c r="FZ24" s="550">
        <f>IF((FW24-(FX24+FY24))&gt;0,FW24-(FX24+FY24),0)</f>
        <v>4736311</v>
      </c>
      <c r="GA24" s="550">
        <f>VLOOKUP($AI24,Funding!$A$1:$G$6,3,FALSE)*$AG24</f>
        <v>0</v>
      </c>
      <c r="GB24" s="550">
        <f>SUM(FV24,FY24,GA24)</f>
        <v>0</v>
      </c>
      <c r="GC24" s="550">
        <f>IF((FW24-(FX24+FY24))&lt;0,FW24-(FX24+FY24),0)</f>
        <v>0</v>
      </c>
      <c r="GD24" s="550">
        <f>GB24+GC24</f>
        <v>0</v>
      </c>
      <c r="GE24" s="550"/>
      <c r="GF24" s="550">
        <f>IF(GE24="y",FP24*$BF$2,FP24*$BF$3)</f>
        <v>22632000</v>
      </c>
      <c r="GG24" s="550">
        <f>DU24</f>
        <v>0</v>
      </c>
      <c r="GH24" s="550">
        <f>IF(FP24&gt;79,IF(FM24&gt;0,-$BJ$2*GF24,0),0)</f>
        <v>0</v>
      </c>
      <c r="GI24" s="550">
        <f>IF(FP24&gt;79,IF(FM24=0,-$BJ$2*GF24,0),0)</f>
        <v>0</v>
      </c>
      <c r="GJ24" s="550">
        <f>IF(GG24&gt;$DX$3,-$BJ$2*GG24,0)</f>
        <v>0</v>
      </c>
      <c r="GK24" s="550">
        <f>SUM(GH24:GJ24)</f>
        <v>0</v>
      </c>
      <c r="GL24" s="550">
        <f>IF(FP24&gt;79,IF(FM24=1,0,-$BM$2*GF24),0)</f>
        <v>0</v>
      </c>
      <c r="GM24" s="550">
        <f>IF(GG24&gt;$DZ$3,-$BM$2*GG24,0)</f>
        <v>0</v>
      </c>
      <c r="GN24" s="550">
        <f>GL24+GM24</f>
        <v>0</v>
      </c>
      <c r="GO24" s="199"/>
      <c r="GP24" s="275"/>
      <c r="GQ24" s="199">
        <f>IF(ISBLANK(GO24),ROUNDDOWN(AS24,0),ROUNDDOWN(GO24,0))</f>
        <v>68</v>
      </c>
      <c r="GR24" s="34">
        <v>1</v>
      </c>
      <c r="GS24" s="34">
        <f>IF(GR24&gt;0.2,0.35,VLOOKUP(GR24,'Density Bonus'!$A$1:$B$15,2,FALSE))</f>
        <v>0.35</v>
      </c>
      <c r="GT24" s="235">
        <f>IF($I24/$AK$3&gt;((1+GS24)*GQ24),(1+GS24)*GQ24,IF(GQ24&gt;($I24/$AK$3),GQ24,($I24/$AK$3)))</f>
        <v>68.957777777777778</v>
      </c>
      <c r="GU24" s="235">
        <f>IF(GS24&gt;0,ROUNDUP(GT24,0),ROUNDDOWN(GT24,0))</f>
        <v>69</v>
      </c>
      <c r="GV24" s="347"/>
      <c r="GW24" s="31">
        <f>IF(ISBLANK($AT24),GR24*GU24,$AT24)</f>
        <v>69</v>
      </c>
      <c r="GX24" s="31">
        <f>GU24-GW24</f>
        <v>0</v>
      </c>
      <c r="GY24" s="196" t="str">
        <f>IF($P24="Yes",$AZ24,IF($E24="Under Agreement",$AZ24,""))</f>
        <v/>
      </c>
      <c r="GZ24" s="238">
        <f>IF(GR24&lt;1,$AG24+($AZ24-GY24),0)</f>
        <v>0</v>
      </c>
      <c r="HA24" s="238">
        <f>SUM(HK24:HM24)</f>
        <v>0</v>
      </c>
      <c r="HB24" s="238">
        <f>HN24+HO24</f>
        <v>0</v>
      </c>
      <c r="HC24" s="238">
        <f t="shared" si="224"/>
        <v>0</v>
      </c>
      <c r="HD24" s="238">
        <f>VLOOKUP($AI24,Funding!$A$1:$G$6,7,FALSE)*HC24</f>
        <v>0</v>
      </c>
      <c r="HE24" s="238">
        <f>SUM(GY24,HD24)</f>
        <v>0</v>
      </c>
      <c r="HF24" s="238">
        <f t="shared" si="226"/>
        <v>-7020888</v>
      </c>
      <c r="HG24" s="238">
        <f>HE24+HF24</f>
        <v>-7020888</v>
      </c>
      <c r="HH24" s="238"/>
      <c r="HI24" s="238">
        <f>IF(HH24="y",GU24*$BF$2,GU24*$BF$3)</f>
        <v>22632000</v>
      </c>
      <c r="HJ24" s="238">
        <f>$BG24</f>
        <v>0</v>
      </c>
      <c r="HK24" s="238">
        <f>IF(GU24&gt;79,IF(GR24&gt;0,-$BJ$2*HI24,0),0)</f>
        <v>0</v>
      </c>
      <c r="HL24" s="238">
        <f>IF(GU24&gt;79,IF(GR24=0,-$BJ$2*HI24,0),0)</f>
        <v>0</v>
      </c>
      <c r="HM24" s="238">
        <f>IF(HJ24&gt;$HM$3,-$BJ$2*HJ24,0)</f>
        <v>0</v>
      </c>
      <c r="HN24" s="238">
        <f>IF(GU24&gt;79,-$BM$2*HI24*(1-GR24),0)</f>
        <v>0</v>
      </c>
      <c r="HO24" s="238">
        <f>IF(HJ24&gt;$HO$3,-$BM$2*HJ24,0)</f>
        <v>0</v>
      </c>
      <c r="HP24" s="397"/>
      <c r="HQ24" s="424" t="s">
        <v>446</v>
      </c>
      <c r="HR24" s="426">
        <f>AH24</f>
        <v>6981975</v>
      </c>
      <c r="HS24" s="425">
        <f t="shared" si="278"/>
        <v>0</v>
      </c>
      <c r="HT24" s="425">
        <f t="shared" si="278"/>
        <v>68</v>
      </c>
      <c r="HU24" s="429">
        <v>0</v>
      </c>
      <c r="HV24" s="429">
        <f>K24</f>
        <v>0</v>
      </c>
      <c r="HW24" s="429">
        <f t="shared" si="279"/>
        <v>0</v>
      </c>
      <c r="HX24" s="429">
        <f t="shared" si="279"/>
        <v>0</v>
      </c>
      <c r="HY24" s="429">
        <f t="shared" si="279"/>
        <v>0</v>
      </c>
      <c r="HZ24" s="426">
        <f>IF(BE24="y",$BF$2,$BF$3)</f>
        <v>328000</v>
      </c>
      <c r="IA24" s="426">
        <v>270</v>
      </c>
      <c r="IB24" s="426">
        <v>270</v>
      </c>
      <c r="IC24" s="425"/>
      <c r="ID24" s="425"/>
      <c r="IE24" s="425"/>
      <c r="IF24" s="427">
        <f>(($HR24+((HS24+HT24)*HZ24)+(HU24*IA24)+(HV24*IB24)+(HW24*IC24)+(HX24*ID24))*0.01*0.29)</f>
        <v>84929.327499999999</v>
      </c>
      <c r="IG24" s="428">
        <f>((1.17*IF24/0.29)*0.39)-IF24</f>
        <v>48702.576424999992</v>
      </c>
      <c r="IH24" s="428">
        <f>HV24*400*0.01</f>
        <v>0</v>
      </c>
      <c r="II24" s="428">
        <f>(HT24*(IF(HQ24="Downtown",$HZ$1,$HZ$2))*12*0.01395)+(HU24*(IF(HQ24="Downtown",$IA$1,$IA$2))*12*0.01395)+(HV24*(IF(HQ24="Downtown",$IB$1,$IB$2))*12*0.01395)+(HW24*(IF(HQ24="Downtown",$IC$1,$IC$2))*12*0.0018)+(HX24*(IF(HQ24="Downtown",$ID$1,$ID$2))*12*0.01395)</f>
        <v>40979.520000000004</v>
      </c>
      <c r="IJ24" s="428">
        <f>HW24*$IC$1*12*0.14</f>
        <v>0</v>
      </c>
      <c r="IK24" s="428">
        <f>SUM(IF24:IJ24)</f>
        <v>174611.42392500001</v>
      </c>
      <c r="IL24" s="429">
        <f>(HU24/300)+(HV24/500)+(HW24/1.33)+(HX24/1000)</f>
        <v>0</v>
      </c>
      <c r="IM24" s="427">
        <f>Sites!AG24</f>
        <v>6981975</v>
      </c>
      <c r="IN24" s="428">
        <f>0.015*IM24</f>
        <v>104729.625</v>
      </c>
      <c r="IO24" s="429">
        <f>(((HS24+HT24)*HZ24)+(HU24*IA24)+(HV24*IB24)+(HW24*IC24)+(HX24*ID24))/$IO$1</f>
        <v>111.52</v>
      </c>
      <c r="IP24" s="426">
        <f>SUM(IT24:JW24)</f>
        <v>6101823.6940858373</v>
      </c>
      <c r="IQ24" s="426">
        <f>NPV(5%,IT24:JW24)</f>
        <v>3351419.8733758214</v>
      </c>
      <c r="IR24" s="430">
        <v>2024</v>
      </c>
      <c r="IS24" s="431"/>
      <c r="IT24" s="431"/>
      <c r="IU24" s="431"/>
      <c r="IV24" s="431"/>
      <c r="IW24" s="428"/>
      <c r="IX24" s="428"/>
      <c r="IY24" s="428"/>
      <c r="IZ24" s="428">
        <f t="shared" ref="IZ24:JI26" si="294">IZ$4*$IK24</f>
        <v>200573.64007048006</v>
      </c>
      <c r="JA24" s="428">
        <f t="shared" si="294"/>
        <v>204585.11287188969</v>
      </c>
      <c r="JB24" s="428">
        <f t="shared" si="294"/>
        <v>208676.81512932747</v>
      </c>
      <c r="JC24" s="428">
        <f t="shared" si="294"/>
        <v>212850.35143191405</v>
      </c>
      <c r="JD24" s="428">
        <f t="shared" si="294"/>
        <v>217107.35846055229</v>
      </c>
      <c r="JE24" s="428">
        <f t="shared" si="294"/>
        <v>221449.50562976336</v>
      </c>
      <c r="JF24" s="428">
        <f t="shared" si="294"/>
        <v>225878.49574235862</v>
      </c>
      <c r="JG24" s="428">
        <f t="shared" si="294"/>
        <v>230396.06565720582</v>
      </c>
      <c r="JH24" s="428">
        <f t="shared" si="294"/>
        <v>235003.98697034986</v>
      </c>
      <c r="JI24" s="428">
        <f t="shared" si="294"/>
        <v>239704.06670975691</v>
      </c>
      <c r="JJ24" s="428">
        <f t="shared" ref="JJ24:JW26" si="295">JJ$4*$IK24</f>
        <v>244498.14804395207</v>
      </c>
      <c r="JK24" s="428">
        <f t="shared" si="295"/>
        <v>249388.11100483107</v>
      </c>
      <c r="JL24" s="428">
        <f t="shared" si="295"/>
        <v>254375.87322492769</v>
      </c>
      <c r="JM24" s="428">
        <f t="shared" si="295"/>
        <v>259463.39068942628</v>
      </c>
      <c r="JN24" s="428">
        <f t="shared" si="295"/>
        <v>264652.65850321477</v>
      </c>
      <c r="JO24" s="428">
        <f t="shared" si="295"/>
        <v>269945.71167327906</v>
      </c>
      <c r="JP24" s="428">
        <f t="shared" si="295"/>
        <v>275344.62590674462</v>
      </c>
      <c r="JQ24" s="428">
        <f t="shared" si="295"/>
        <v>280851.51842487953</v>
      </c>
      <c r="JR24" s="428">
        <f t="shared" si="295"/>
        <v>286468.54879337712</v>
      </c>
      <c r="JS24" s="428">
        <f t="shared" si="295"/>
        <v>292197.91976924468</v>
      </c>
      <c r="JT24" s="428">
        <f t="shared" si="295"/>
        <v>298041.87816462951</v>
      </c>
      <c r="JU24" s="428">
        <f t="shared" si="295"/>
        <v>304002.71572792216</v>
      </c>
      <c r="JV24" s="428">
        <f t="shared" si="295"/>
        <v>310082.77004248055</v>
      </c>
      <c r="JW24" s="428">
        <f t="shared" si="295"/>
        <v>316284.4254433302</v>
      </c>
      <c r="JX24" s="432"/>
      <c r="JY24" s="435">
        <f t="shared" si="282"/>
        <v>0</v>
      </c>
      <c r="JZ24" s="435">
        <f t="shared" si="282"/>
        <v>0</v>
      </c>
      <c r="KA24" s="435">
        <f t="shared" si="283"/>
        <v>93093</v>
      </c>
      <c r="KB24" s="435">
        <f t="shared" si="283"/>
        <v>0</v>
      </c>
      <c r="KC24" s="435">
        <f t="shared" si="283"/>
        <v>0</v>
      </c>
      <c r="KD24" s="435">
        <f t="shared" si="283"/>
        <v>0</v>
      </c>
      <c r="KE24" s="435">
        <f t="shared" si="283"/>
        <v>0</v>
      </c>
      <c r="KF24" s="432">
        <f>IF(CI24="y",$BF$2,$BF$3)</f>
        <v>328000</v>
      </c>
      <c r="KG24" s="445">
        <f t="shared" si="284"/>
        <v>270</v>
      </c>
      <c r="KH24" s="445">
        <f t="shared" si="284"/>
        <v>270</v>
      </c>
      <c r="KI24" s="445">
        <f t="shared" si="284"/>
        <v>0</v>
      </c>
      <c r="KJ24" s="445">
        <f t="shared" si="284"/>
        <v>0</v>
      </c>
      <c r="KK24" s="445">
        <f t="shared" si="284"/>
        <v>0</v>
      </c>
      <c r="KL24" s="434">
        <f>(($HR24+(JZ24*KF24)+(KA24*KG24)+(KB24*KH24)+(KC24*KI24)+(KD24*KJ24))*0.01*0.29)</f>
        <v>93139.546499999997</v>
      </c>
      <c r="KM24" s="432">
        <f>((1.17*KL24/0.29)*0.39)-KL24</f>
        <v>53410.712354999996</v>
      </c>
      <c r="KN24" s="432">
        <f>KB24*400*0.01</f>
        <v>0</v>
      </c>
      <c r="KO24" s="432">
        <f>(JZ24*(IF($HQ24="Downtown",$HZ$1,$HZ$2))*12*0.01395)+(KA24*(IF($HQ24="Downtown",$IA$1,$IA$2))*12*0.01395)+(KB24*(IF($HQ24="Downtown",$IB$1,$IB$2))*12*0.01395)+(KC24*(IF($HQ24="Downtown",$IC$1,$IC$2))*12*0.0018)+(KD24*(IF($HQ24="Downtown",$ID$1,$ID$2))*12*0.01395)</f>
        <v>77918.841</v>
      </c>
      <c r="KP24" s="432">
        <f>KC24*$IC$1*12*0.14</f>
        <v>0</v>
      </c>
      <c r="KQ24" s="432">
        <f>SUM(KL24:KP24)</f>
        <v>224469.09985499998</v>
      </c>
      <c r="KR24" s="435">
        <f>(KA24/300)+(KB24/500)+(KC24/1.33)+(KD24/1000)</f>
        <v>310.31</v>
      </c>
      <c r="KS24" s="434">
        <f>CD24</f>
        <v>6981975</v>
      </c>
      <c r="KT24" s="432">
        <f>0.015*KS24</f>
        <v>104729.625</v>
      </c>
      <c r="KU24" s="435">
        <f>(((JY24+JZ24)*KF24)+(KA24*KG24)+(KB24*KH24)+(KC24*KI24)+(KD24*KJ24))/$IO$1</f>
        <v>125.67555</v>
      </c>
      <c r="KV24" s="433">
        <f>SUM(KZ24:MC24)</f>
        <v>7844108.0273972601</v>
      </c>
      <c r="KW24" s="433">
        <f>NPV(5%,KZ24:MC24)</f>
        <v>4308367.6044927994</v>
      </c>
      <c r="KX24" s="436">
        <f>IR24</f>
        <v>2024</v>
      </c>
      <c r="KY24" s="411"/>
      <c r="KZ24" s="411"/>
      <c r="LA24" s="411"/>
      <c r="LB24" s="411"/>
      <c r="LC24" s="411"/>
      <c r="LD24" s="411"/>
      <c r="LE24" s="411"/>
      <c r="LF24" s="446">
        <f t="shared" ref="LF24:LO26" si="296">LF$4*$KQ24</f>
        <v>257844.43783357352</v>
      </c>
      <c r="LG24" s="446">
        <f t="shared" si="296"/>
        <v>263001.32659024501</v>
      </c>
      <c r="LH24" s="446">
        <f t="shared" si="296"/>
        <v>268261.35312204988</v>
      </c>
      <c r="LI24" s="446">
        <f t="shared" si="296"/>
        <v>273626.58018449094</v>
      </c>
      <c r="LJ24" s="446">
        <f t="shared" si="296"/>
        <v>279099.11178818066</v>
      </c>
      <c r="LK24" s="446">
        <f t="shared" si="296"/>
        <v>284681.09402394434</v>
      </c>
      <c r="LL24" s="446">
        <f t="shared" si="296"/>
        <v>290374.71590442321</v>
      </c>
      <c r="LM24" s="446">
        <f t="shared" si="296"/>
        <v>296182.21022251173</v>
      </c>
      <c r="LN24" s="446">
        <f t="shared" si="296"/>
        <v>302105.85442696186</v>
      </c>
      <c r="LO24" s="446">
        <f t="shared" si="296"/>
        <v>308147.97151550115</v>
      </c>
      <c r="LP24" s="446">
        <f t="shared" ref="LP24:MC26" si="297">LP$4*$KQ24</f>
        <v>314310.93094581121</v>
      </c>
      <c r="LQ24" s="446">
        <f t="shared" si="297"/>
        <v>320597.14956472738</v>
      </c>
      <c r="LR24" s="446">
        <f t="shared" si="297"/>
        <v>327009.09255602193</v>
      </c>
      <c r="LS24" s="446">
        <f t="shared" si="297"/>
        <v>333549.27440714237</v>
      </c>
      <c r="LT24" s="446">
        <f t="shared" si="297"/>
        <v>340220.25989528524</v>
      </c>
      <c r="LU24" s="446">
        <f t="shared" si="297"/>
        <v>347024.66509319091</v>
      </c>
      <c r="LV24" s="446">
        <f t="shared" si="297"/>
        <v>353965.15839505469</v>
      </c>
      <c r="LW24" s="446">
        <f t="shared" si="297"/>
        <v>361044.46156295581</v>
      </c>
      <c r="LX24" s="446">
        <f t="shared" si="297"/>
        <v>368265.35079421493</v>
      </c>
      <c r="LY24" s="446">
        <f t="shared" si="297"/>
        <v>375630.65781009925</v>
      </c>
      <c r="LZ24" s="446">
        <f t="shared" si="297"/>
        <v>383143.27096630115</v>
      </c>
      <c r="MA24" s="446">
        <f t="shared" si="297"/>
        <v>390806.13638562727</v>
      </c>
      <c r="MB24" s="446">
        <f t="shared" si="297"/>
        <v>398622.25911333977</v>
      </c>
      <c r="MC24" s="446">
        <f t="shared" si="297"/>
        <v>406594.70429560659</v>
      </c>
      <c r="MD24" s="496"/>
      <c r="ME24" s="497">
        <f t="shared" si="287"/>
        <v>0</v>
      </c>
      <c r="MF24" s="497">
        <f t="shared" si="287"/>
        <v>0</v>
      </c>
      <c r="MG24" s="497">
        <f t="shared" si="287"/>
        <v>0</v>
      </c>
      <c r="MH24" s="497">
        <f t="shared" si="287"/>
        <v>0</v>
      </c>
      <c r="MI24" s="497">
        <f t="shared" si="287"/>
        <v>0</v>
      </c>
      <c r="MJ24" s="498">
        <f t="shared" si="288"/>
        <v>270</v>
      </c>
      <c r="MK24" s="498">
        <f t="shared" si="288"/>
        <v>270</v>
      </c>
      <c r="ML24" s="498">
        <f t="shared" si="288"/>
        <v>0</v>
      </c>
      <c r="MM24" s="498">
        <f t="shared" si="288"/>
        <v>0</v>
      </c>
      <c r="MN24" s="498">
        <f t="shared" si="288"/>
        <v>0</v>
      </c>
      <c r="MO24" s="454"/>
      <c r="MP24" s="448">
        <f t="shared" si="289"/>
        <v>69</v>
      </c>
      <c r="MQ24" s="448">
        <f t="shared" si="289"/>
        <v>0</v>
      </c>
      <c r="MR24" s="448">
        <f t="shared" si="290"/>
        <v>0</v>
      </c>
      <c r="MS24" s="448">
        <f t="shared" si="290"/>
        <v>0</v>
      </c>
      <c r="MT24" s="448">
        <f t="shared" si="290"/>
        <v>0</v>
      </c>
      <c r="MU24" s="448">
        <f t="shared" si="290"/>
        <v>0</v>
      </c>
      <c r="MV24" s="448">
        <f t="shared" si="290"/>
        <v>0</v>
      </c>
      <c r="MW24" s="450">
        <f>IF(HH24="y",$BF$2,$BF$3)</f>
        <v>328000</v>
      </c>
      <c r="MX24" s="450">
        <f t="shared" si="291"/>
        <v>270</v>
      </c>
      <c r="MY24" s="450">
        <f t="shared" si="291"/>
        <v>270</v>
      </c>
      <c r="MZ24" s="450">
        <f t="shared" si="291"/>
        <v>0</v>
      </c>
      <c r="NA24" s="450">
        <f t="shared" si="291"/>
        <v>0</v>
      </c>
      <c r="NB24" s="450">
        <f t="shared" si="291"/>
        <v>0</v>
      </c>
      <c r="NC24" s="451">
        <f>IF($P24="Yes",$IF24,IF($E24="Under Agreement",$IF24,0))</f>
        <v>0</v>
      </c>
      <c r="ND24" s="449">
        <f>((1.17*NC24/0.29)*0.39)-NC24</f>
        <v>0</v>
      </c>
      <c r="NE24" s="449">
        <f>MS24*400*0.01</f>
        <v>0</v>
      </c>
      <c r="NF24" s="449">
        <f>(MQ24*(IF($HQ24="Downtown",$HZ$1,$HZ$2))*12*0.01395)+(MR24*(IF($HQ24="Downtown",$IA$1,$IA$2))*12*0.01395)+(MS24*(IF($HQ24="Downtown",$IB$1,$IB$2))*12*0.01395)+(MT24*(IF($HQ24="Downtown",$IC$1,$IC$2))*12*0.0018)+(MU24*(IF($HQ24="Downtown",$ID$1,$ID$2))*12*0.01395)</f>
        <v>0</v>
      </c>
      <c r="NG24" s="449">
        <f>MT24*$IC$1*12*0.14</f>
        <v>0</v>
      </c>
      <c r="NH24" s="449">
        <f>SUM(NC24:NG24)</f>
        <v>0</v>
      </c>
      <c r="NI24" s="448">
        <f>(MR24/300)+(MS24/500)+(MT24/1.33)+(MU24/1000)</f>
        <v>0</v>
      </c>
      <c r="NJ24" s="451">
        <f>GZ24</f>
        <v>0</v>
      </c>
      <c r="NK24" s="449">
        <f>0.015*NJ24</f>
        <v>0</v>
      </c>
      <c r="NL24" s="448">
        <f>(((MP24+MQ24)*MW24)+(MR24*MX24)+(MS24*MY24)+(MT24*MZ24)+(MU24*NA24))/$IO$1</f>
        <v>113.16</v>
      </c>
      <c r="NM24" s="452">
        <f>SUM(NQ24:OT24)</f>
        <v>0</v>
      </c>
      <c r="NN24" s="452">
        <f>NPV(5%,NQ24:OT24)</f>
        <v>0</v>
      </c>
      <c r="NO24" s="453">
        <f>KX24</f>
        <v>2024</v>
      </c>
      <c r="NP24" s="423"/>
      <c r="NQ24" s="423"/>
      <c r="NR24" s="423"/>
      <c r="NS24" s="423"/>
      <c r="NT24" s="423"/>
      <c r="NU24" s="423"/>
      <c r="NV24" s="423"/>
      <c r="NW24" s="454">
        <f t="shared" ref="NW24:OF26" si="298">NW$4*$NH24</f>
        <v>0</v>
      </c>
      <c r="NX24" s="454">
        <f t="shared" si="298"/>
        <v>0</v>
      </c>
      <c r="NY24" s="454">
        <f t="shared" si="298"/>
        <v>0</v>
      </c>
      <c r="NZ24" s="454">
        <f t="shared" si="298"/>
        <v>0</v>
      </c>
      <c r="OA24" s="454">
        <f t="shared" si="298"/>
        <v>0</v>
      </c>
      <c r="OB24" s="454">
        <f t="shared" si="298"/>
        <v>0</v>
      </c>
      <c r="OC24" s="454">
        <f t="shared" si="298"/>
        <v>0</v>
      </c>
      <c r="OD24" s="454">
        <f t="shared" si="298"/>
        <v>0</v>
      </c>
      <c r="OE24" s="454">
        <f t="shared" si="298"/>
        <v>0</v>
      </c>
      <c r="OF24" s="454">
        <f t="shared" si="298"/>
        <v>0</v>
      </c>
      <c r="OG24" s="454">
        <f t="shared" ref="OG24:OT26" si="299">OG$4*$NH24</f>
        <v>0</v>
      </c>
      <c r="OH24" s="454">
        <f t="shared" si="299"/>
        <v>0</v>
      </c>
      <c r="OI24" s="454">
        <f t="shared" si="299"/>
        <v>0</v>
      </c>
      <c r="OJ24" s="454">
        <f t="shared" si="299"/>
        <v>0</v>
      </c>
      <c r="OK24" s="454">
        <f t="shared" si="299"/>
        <v>0</v>
      </c>
      <c r="OL24" s="454">
        <f t="shared" si="299"/>
        <v>0</v>
      </c>
      <c r="OM24" s="454">
        <f t="shared" si="299"/>
        <v>0</v>
      </c>
      <c r="ON24" s="454">
        <f t="shared" si="299"/>
        <v>0</v>
      </c>
      <c r="OO24" s="454">
        <f t="shared" si="299"/>
        <v>0</v>
      </c>
      <c r="OP24" s="454">
        <f t="shared" si="299"/>
        <v>0</v>
      </c>
      <c r="OQ24" s="454">
        <f t="shared" si="299"/>
        <v>0</v>
      </c>
      <c r="OR24" s="454">
        <f t="shared" si="299"/>
        <v>0</v>
      </c>
      <c r="OS24" s="454">
        <f t="shared" si="299"/>
        <v>0</v>
      </c>
      <c r="OT24" s="454">
        <f t="shared" si="299"/>
        <v>0</v>
      </c>
    </row>
    <row r="25" spans="1:410" s="11" customFormat="1" ht="60">
      <c r="A25" s="19" t="s">
        <v>399</v>
      </c>
      <c r="B25" s="19" t="s">
        <v>416</v>
      </c>
      <c r="C25" s="19" t="s">
        <v>401</v>
      </c>
      <c r="D25" s="19">
        <v>2</v>
      </c>
      <c r="E25" s="19" t="s">
        <v>293</v>
      </c>
      <c r="F25" s="19" t="s">
        <v>279</v>
      </c>
      <c r="G25" s="22" t="s">
        <v>402</v>
      </c>
      <c r="H25" s="20">
        <v>3180</v>
      </c>
      <c r="I25" s="442">
        <v>39535</v>
      </c>
      <c r="J25" s="20">
        <v>20000</v>
      </c>
      <c r="K25" s="20"/>
      <c r="L25" s="20"/>
      <c r="M25" s="20"/>
      <c r="N25" s="20"/>
      <c r="O25" s="442">
        <f>SUM(J25:N25)</f>
        <v>20000</v>
      </c>
      <c r="P25" s="21" t="s">
        <v>296</v>
      </c>
      <c r="Q25" s="21" t="s">
        <v>398</v>
      </c>
      <c r="R25" s="27">
        <f>I25/AJ25</f>
        <v>6.0823076923076922</v>
      </c>
      <c r="S25" s="457">
        <v>2.5</v>
      </c>
      <c r="T25" s="27">
        <f>I25*S25</f>
        <v>98837.5</v>
      </c>
      <c r="U25" s="21"/>
      <c r="V25" s="19"/>
      <c r="W25" s="22"/>
      <c r="X25" s="19" t="s">
        <v>403</v>
      </c>
      <c r="Y25" s="19"/>
      <c r="Z25" s="19" t="s">
        <v>405</v>
      </c>
      <c r="AA25" s="219"/>
      <c r="AB25" s="219"/>
      <c r="AC25" s="224">
        <v>120</v>
      </c>
      <c r="AD25" s="224">
        <f>AC25*I25</f>
        <v>4744200</v>
      </c>
      <c r="AE25" s="24">
        <v>1250000</v>
      </c>
      <c r="AF25" s="273" t="s">
        <v>443</v>
      </c>
      <c r="AG25" s="220">
        <f>IF(ISBLANK(AE25),AD25,AE25)</f>
        <v>1250000</v>
      </c>
      <c r="AH25" s="220">
        <f>AG25</f>
        <v>1250000</v>
      </c>
      <c r="AI25" s="24" t="s">
        <v>252</v>
      </c>
      <c r="AJ25" s="228">
        <f>VLOOKUP($Q25,'Zoning Density'!$A$1:$E$28,3,)</f>
        <v>6500</v>
      </c>
      <c r="AK25" s="228">
        <f>IF(AJ25=0,0,(IF(AJ25&gt;$AK$3,AJ25,$AK$3)))</f>
        <v>6500</v>
      </c>
      <c r="AL25" s="229">
        <f>IF(AJ25&gt;0,I25/AJ25,0)</f>
        <v>6.0823076923076922</v>
      </c>
      <c r="AM25" s="229">
        <f>IF(AK25&gt;0,I25/$AK25,0)</f>
        <v>6.0823076923076922</v>
      </c>
      <c r="AN25" s="228">
        <v>1</v>
      </c>
      <c r="AO25" s="221">
        <f>VLOOKUP($AI25,Funding!$A$1:$G$6,3,FALSE)*$AG25</f>
        <v>0</v>
      </c>
      <c r="AP25" s="221">
        <f>VLOOKUP($AI25,Funding!$A$1:$G$6,4,FALSE)*$AG25</f>
        <v>1250000</v>
      </c>
      <c r="AQ25" s="351"/>
      <c r="AR25" s="274"/>
      <c r="AS25" s="222">
        <v>0</v>
      </c>
      <c r="AT25" s="222"/>
      <c r="AU25" s="222">
        <f>AS25-AT25</f>
        <v>0</v>
      </c>
      <c r="AV25" s="221">
        <f>VLOOKUP($AN25,'Impact Fee'!$A$1:$E$20,5,FALSE)*AU25</f>
        <v>0</v>
      </c>
      <c r="AW25" s="221">
        <f>IF(P25="yes",IF((J25+M25)&gt;25000,(J25+M25-25000)*6,0),0)</f>
        <v>0</v>
      </c>
      <c r="AX25" s="221"/>
      <c r="AY25" s="321"/>
      <c r="AZ25" s="221">
        <f>IF(ISBLANK(AX25),AV25+AW25,AX25)</f>
        <v>0</v>
      </c>
      <c r="BA25" s="221">
        <f>AO25+AZ25</f>
        <v>0</v>
      </c>
      <c r="BB25" s="221">
        <f>AP25+AZ25</f>
        <v>1250000</v>
      </c>
      <c r="BC25" s="271">
        <f t="shared" si="276"/>
        <v>0</v>
      </c>
      <c r="BD25" s="271">
        <f t="shared" si="277"/>
        <v>10</v>
      </c>
      <c r="BE25" s="271"/>
      <c r="BF25" s="221">
        <f>IF(BE25="y",AS25*$BF$2,AS25*$BF$3)</f>
        <v>0</v>
      </c>
      <c r="BG25" s="221">
        <f>($HU25*$IA25)+($HV25*$IB25)+($HX25*$ID25)+($HY25*$IE25)</f>
        <v>5400000</v>
      </c>
      <c r="BH25" s="221">
        <f>IF(AU25&gt;79,-$BJ$2*BF25,0)</f>
        <v>0</v>
      </c>
      <c r="BI25" s="221">
        <f>IF(BG25&gt;$BI$3,-$BJ$2*BG25,0)</f>
        <v>0</v>
      </c>
      <c r="BJ25" s="221">
        <f>BH25+BI25</f>
        <v>0</v>
      </c>
      <c r="BK25" s="221">
        <f>IF(AU25&gt;79,-$BM$2*BF25,0)</f>
        <v>0</v>
      </c>
      <c r="BL25" s="221">
        <f>IF(BG25&gt;$BL$3,-$BM$2*BG25,0)</f>
        <v>0</v>
      </c>
      <c r="BM25" s="221">
        <f>BK25+BL25</f>
        <v>0</v>
      </c>
      <c r="BN25" s="259">
        <v>0</v>
      </c>
      <c r="BO25" s="260"/>
      <c r="BP25" s="259">
        <f>IF(ISBLANK(BN25),ROUNDDOWN(AS25,0),ROUNDDOWN(BN25,0))</f>
        <v>0</v>
      </c>
      <c r="BQ25" s="261">
        <v>0</v>
      </c>
      <c r="BR25" s="261">
        <f>IF(BQ25&gt;0.2,0.35,VLOOKUP(BQ25,'Density Bonus'!$A$1:$B$15,2,FALSE))</f>
        <v>0</v>
      </c>
      <c r="BS25" s="262">
        <f>IF($I25/$AK$3&gt;((1+BR25)*BP25),(1+BR25)*BP25,IF(BP25&gt;($I25/$AK$3),BP25,($I25/$AK$3)))</f>
        <v>0</v>
      </c>
      <c r="BT25" s="262">
        <f>IF(BR25&gt;0,ROUNDUP(BS25,0),ROUNDDOWN(BS25,0))</f>
        <v>0</v>
      </c>
      <c r="BU25" s="349"/>
      <c r="BV25" s="263">
        <f>BQ25*BT25</f>
        <v>0</v>
      </c>
      <c r="BW25" s="263">
        <f>BT25-BV25</f>
        <v>0</v>
      </c>
      <c r="BX25" s="264">
        <f>IF(F25="Commercial",IF((J25+M25)&gt;25000,(J25+M25-25000)*6,0),0)</f>
        <v>0</v>
      </c>
      <c r="BY25" s="264">
        <f>IF(BQ25&lt;0.15,(VLOOKUP($AN25,'Impact Fee'!$A$1:$E$10,5,FALSE)*BW25),0)</f>
        <v>0</v>
      </c>
      <c r="BZ25" s="264">
        <f>BX25+BY25</f>
        <v>0</v>
      </c>
      <c r="CA25" s="264">
        <f>IF(BQ25&lt;1,IF(BY25&gt;0,$AG25+($AZ25-BZ25),$AG25),0)</f>
        <v>1250000</v>
      </c>
      <c r="CB25" s="264">
        <f>IF(BQ25&lt;0.15,BW25*IF(CI25="y",$CC$2,$CC$3),0)</f>
        <v>0</v>
      </c>
      <c r="CC25" s="264">
        <f>IF(CB25&gt;CA25,CA25,CB25)</f>
        <v>0</v>
      </c>
      <c r="CD25" s="264">
        <f>IF(BQ25&lt;1,$AG25,0)</f>
        <v>1250000</v>
      </c>
      <c r="CE25" s="264">
        <f>CD25*IF(F25="Commercial",CE$3,VLOOKUP($AI25,Funding!$A$1:$G$6,5,FALSE))</f>
        <v>500000</v>
      </c>
      <c r="CF25" s="264">
        <f>SUM(BZ25,CC25,CE25)</f>
        <v>500000</v>
      </c>
      <c r="CG25" s="264">
        <f>BV25*$CG$3</f>
        <v>0</v>
      </c>
      <c r="CH25" s="264">
        <f>CF25+CG25</f>
        <v>500000</v>
      </c>
      <c r="CI25" s="264"/>
      <c r="CJ25" s="264">
        <f>IF(CI25="y",BT25*$BF$2,BT25*$BF$3)</f>
        <v>0</v>
      </c>
      <c r="CK25" s="264">
        <f>($KA25*$KG25)+($KB25*$KH25)+($KD25*$KJ25)+($KE25*$KK25)</f>
        <v>5400000</v>
      </c>
      <c r="CL25" s="264">
        <f>IF(BT25&gt;79,IF(BQ25&gt;0,-$BJ$2*CJ25,0),0)</f>
        <v>0</v>
      </c>
      <c r="CM25" s="264">
        <f>IF(BT25&gt;79,IF(BQ25=0,-$BJ$2*CJ25,0),0)</f>
        <v>0</v>
      </c>
      <c r="CN25" s="264">
        <f>IF(CK25&gt;$CN$3,-$BJ$2*CK25,0)</f>
        <v>0</v>
      </c>
      <c r="CO25" s="264">
        <f>SUM(CL25:CN25)</f>
        <v>0</v>
      </c>
      <c r="CP25" s="264">
        <f>IF(BT25&gt;79,-$BM$2*CJ25*(1-BQ25),0)</f>
        <v>0</v>
      </c>
      <c r="CQ25" s="264">
        <f>IF(CK25&gt;$CQ$3,-$BM$2*CK25,0)</f>
        <v>0</v>
      </c>
      <c r="CR25" s="264">
        <f>CP25+CQ25</f>
        <v>0</v>
      </c>
      <c r="CS25" s="520"/>
      <c r="CT25" s="521"/>
      <c r="CU25" s="520">
        <f>IF(ISBLANK(CS25),ROUNDDOWN($AS25,0),ROUNDDOWN(CS25,0))</f>
        <v>0</v>
      </c>
      <c r="CV25" s="522">
        <v>0</v>
      </c>
      <c r="CW25" s="522">
        <f>IF(CV25&gt;0.2,0.35,VLOOKUP(CV25,'Density Bonus'!$A$1:$B$15,2,FALSE))</f>
        <v>0</v>
      </c>
      <c r="CX25" s="523">
        <f>IF($I25/$AK$3&gt;((1+CW25)*CU25),(1+CW25)*CU25,IF(CU25&gt;($I25/$AK$3),CU25,($I25/$AK$3)))</f>
        <v>0</v>
      </c>
      <c r="CY25" s="523">
        <f>IF(CW25&gt;0,ROUNDUP(CX25,0),ROUNDDOWN(CX25,0))</f>
        <v>0</v>
      </c>
      <c r="CZ25" s="347"/>
      <c r="DA25" s="524">
        <f>IF(ISBLANK($AT25),ROUND(CV25*CY25,0),$AT25)</f>
        <v>0</v>
      </c>
      <c r="DB25" s="524">
        <f>CY25-DA25</f>
        <v>0</v>
      </c>
      <c r="DC25" s="525">
        <f>IF($P25="Yes",$AZ25,IF($E25="Under Agreement",$AZ25,0))</f>
        <v>0</v>
      </c>
      <c r="DD25" s="525">
        <f>IF(CV25&lt;0.4,VLOOKUP($AN25,'Impact Fee'!$A$1:$E$10,5,FALSE)*DB25,0)</f>
        <v>0</v>
      </c>
      <c r="DE25" s="525">
        <f>IF(CV25&lt;1,DC25+DD25,0)</f>
        <v>0</v>
      </c>
      <c r="DF25" s="525">
        <f>IF(CV25&lt;1,$AG25+DD25,0)</f>
        <v>1250000</v>
      </c>
      <c r="DG25" s="525">
        <f>IF(CV25&lt;1,IF(DS25="y",DA25*$DG$2,DA25*$DG$3),DA25*$HF$3)</f>
        <v>0</v>
      </c>
      <c r="DH25" s="525">
        <f>IF(CV25&lt;0.4,(0.4-CV25)*CY25*$DH$3,0)</f>
        <v>0</v>
      </c>
      <c r="DI25" s="525">
        <f>DF25-(DG25-DL25-DM25)</f>
        <v>1250000</v>
      </c>
      <c r="DJ25" s="525">
        <f>IF(DI25&gt;0,IF(DH25&gt;DI25,DI25,DH25),0)</f>
        <v>0</v>
      </c>
      <c r="DK25" s="525">
        <f>IF(CV25&lt;1,IF((DF25-(DG25+DJ25))&gt;0,DF25-(DG25+DJ25),0),0)</f>
        <v>1250000</v>
      </c>
      <c r="DL25" s="525">
        <f>SUM(DV25:DX25)</f>
        <v>0</v>
      </c>
      <c r="DM25" s="525">
        <f>DY25+DZ25</f>
        <v>0</v>
      </c>
      <c r="DN25" s="525">
        <f>IF(CV25&lt;1,IF((DF25-(DG25+DJ25-DL25-DM25))&gt;0,DF25-(DG25+DJ25-DL25-DM25),0),0)</f>
        <v>1250000</v>
      </c>
      <c r="DO25" s="525">
        <f>VLOOKUP($AI25,Funding!$A$1:$G$6,6,FALSE)*DN25</f>
        <v>1250000</v>
      </c>
      <c r="DP25" s="525">
        <f>SUM(DC25,DJ25,DO25)</f>
        <v>1250000</v>
      </c>
      <c r="DQ25" s="525">
        <f>IF((DF25-(DG25+DJ25-DL25-DM25))&lt;0,DF25-(DG25+DJ25-DL25-DM25),0)</f>
        <v>0</v>
      </c>
      <c r="DR25" s="525">
        <f>DP25+DQ25</f>
        <v>1250000</v>
      </c>
      <c r="DS25" s="525"/>
      <c r="DT25" s="525">
        <f>IF(DS25="y",CY25*$BF$2,CY25*$BF$3)</f>
        <v>0</v>
      </c>
      <c r="DU25" s="525">
        <f>($ME25*$MJ25)+($MF25*$MK25)+($MH25*$MM25)+($MI25*$MN25)</f>
        <v>5400000</v>
      </c>
      <c r="DV25" s="525">
        <f>IF(CY25&gt;79,IF(CV25&gt;0,-$BJ$2*DT25,0),0)</f>
        <v>0</v>
      </c>
      <c r="DW25" s="525">
        <f>IF(CY25&gt;79,IF(CV25=0,-$BJ$2*DT25,0),0)</f>
        <v>0</v>
      </c>
      <c r="DX25" s="525">
        <f>IF(DU25&gt;$DX$3,-$BJ$2*DU25,0)</f>
        <v>0</v>
      </c>
      <c r="DY25" s="525">
        <f>IF(CY25&gt;79,IF(CV25=1,0,-$BM$2*DT25),0)</f>
        <v>0</v>
      </c>
      <c r="DZ25" s="525">
        <f>IF(DU25&gt;$DZ$3,-$BM$2*DU25,0)</f>
        <v>0</v>
      </c>
      <c r="EA25" s="819"/>
      <c r="EB25" s="820"/>
      <c r="EC25" s="819">
        <f>IF(ISBLANK(EA25),ROUNDDOWN($AS25,0),ROUNDDOWN(EA25,0))</f>
        <v>0</v>
      </c>
      <c r="ED25" s="821">
        <v>0</v>
      </c>
      <c r="EE25" s="821">
        <f>IF(ED25&gt;0.2,0.35,VLOOKUP(ED25,'Density Bonus'!$A$1:$B$15,2,FALSE))</f>
        <v>0</v>
      </c>
      <c r="EF25" s="822">
        <f>IF($I25/$AK$3&gt;((1+EE25)*EC25),(1+EE25)*EC25,IF(EC25&gt;($I25/$AK$3),EC25,($I25/$AK$3)))</f>
        <v>0</v>
      </c>
      <c r="EG25" s="822">
        <f>IF(EE25&gt;0,ROUNDUP(EF25,0),ROUNDDOWN(EF25,0))</f>
        <v>0</v>
      </c>
      <c r="EH25" s="823"/>
      <c r="EI25" s="824">
        <f>IF(ISBLANK($AT25),ROUND(ED25*EG25,0),$AT25)</f>
        <v>0</v>
      </c>
      <c r="EJ25" s="824">
        <f>EG25-EI25</f>
        <v>0</v>
      </c>
      <c r="EK25" s="825">
        <f>IF($P25="Yes",$AZ25,IF($E25="Under Agreement",$AZ25,0))</f>
        <v>0</v>
      </c>
      <c r="EL25" s="825">
        <f>IF(ED25&lt;0.4,VLOOKUP($AN25,'Impact Fee'!$A$1:$E$10,5,FALSE)*EJ25,0)</f>
        <v>0</v>
      </c>
      <c r="EM25" s="825">
        <f>IF(ED25&lt;1,EK25+EL25,0)</f>
        <v>0</v>
      </c>
      <c r="EN25" s="825">
        <f>IF(ED25&lt;1,$AG25+EL25,0)</f>
        <v>1250000</v>
      </c>
      <c r="EO25" s="825">
        <f>IF(ED25&lt;1,IF(FA25="y",EI25*$DG$2,EI25*$DG$3),EI25*$HF$3)</f>
        <v>0</v>
      </c>
      <c r="EP25" s="825">
        <f>IF(ED25&lt;0.4,(0.4-ED25)*EG25*$DH$3,0)</f>
        <v>0</v>
      </c>
      <c r="EQ25" s="825">
        <f>EN25-(EO25-ET25-EU25)</f>
        <v>1250000</v>
      </c>
      <c r="ER25" s="825">
        <f>IF(EQ25&gt;0,IF(EP25&gt;EQ25,EQ25,EP25),0)</f>
        <v>0</v>
      </c>
      <c r="ES25" s="825">
        <f>IF(ED25&lt;1,IF((EN25-(EO25+ER25))&gt;0,EN25-(EO25+ER25),0),0)</f>
        <v>1250000</v>
      </c>
      <c r="ET25" s="825">
        <f>SUM(FD25:FF25)</f>
        <v>0</v>
      </c>
      <c r="EU25" s="825">
        <f>FG25+FH25</f>
        <v>0</v>
      </c>
      <c r="EV25" s="825">
        <f>IF(ED25&lt;1,IF((EN25-(EO25+ER25-ET25-EU25))&gt;0,EN25-(EO25+ER25-ET25-EU25),0),0)</f>
        <v>1250000</v>
      </c>
      <c r="EW25" s="825">
        <f>VLOOKUP($AI25,Funding!$A$1:$G$6,6,FALSE)*EV25</f>
        <v>1250000</v>
      </c>
      <c r="EX25" s="825">
        <f>SUM(EK25,ER25,EW25)</f>
        <v>1250000</v>
      </c>
      <c r="EY25" s="825">
        <f>IF((EN25-(EO25+ER25-ET25-EU25))&lt;0,EN25-(EO25+ER25-ET25-EU25),0)</f>
        <v>0</v>
      </c>
      <c r="EZ25" s="825">
        <f>EX25+EY25</f>
        <v>1250000</v>
      </c>
      <c r="FA25" s="825"/>
      <c r="FB25" s="825">
        <f>IF(FA25="y",EG25*$BF$2,EG25*$BF$3)</f>
        <v>0</v>
      </c>
      <c r="FC25" s="825">
        <f>($ME25*$MJ25)+($MF25*$MK25)+($MH25*$MM25)+($MI25*$MN25)</f>
        <v>5400000</v>
      </c>
      <c r="FD25" s="825">
        <f>IF(EG25&gt;79,IF(ED25&gt;0,-$BJ$2*FB25,0),0)</f>
        <v>0</v>
      </c>
      <c r="FE25" s="825">
        <f>IF(EG25&gt;79,IF(ED25=0,-$BJ$2*FB25,0),0)</f>
        <v>0</v>
      </c>
      <c r="FF25" s="825">
        <f>IF(FC25&gt;$DX$3,-$BJ$2*FC25,0)</f>
        <v>0</v>
      </c>
      <c r="FG25" s="825">
        <f>IF(EG25&gt;79,IF(ED25=1,0,-$BM$2*FB25),0)</f>
        <v>0</v>
      </c>
      <c r="FH25" s="825">
        <f>IF(FC25&gt;$DZ$3,-$BM$2*FC25,0)</f>
        <v>0</v>
      </c>
      <c r="FI25" s="545"/>
      <c r="FJ25" s="546"/>
      <c r="FK25" s="546" t="s">
        <v>323</v>
      </c>
      <c r="FL25" s="545">
        <f>IF(ISBLANK(FI25),ROUNDDOWN($AS25,0),ROUNDDOWN(FI25,0))</f>
        <v>0</v>
      </c>
      <c r="FM25" s="547">
        <v>0</v>
      </c>
      <c r="FN25" s="547">
        <f>IF(FM25&gt;0.2,0.35,VLOOKUP(FM25,'Density Bonus'!$A$1:$B$15,2,FALSE))</f>
        <v>0</v>
      </c>
      <c r="FO25" s="548">
        <f>IF($I25/$AK$3&gt;((1+FN25)*FL25),(1+FN25)*FL25,IF(FL25&gt;($I25/$AK$3),FL25,($I25/$AK$3)))</f>
        <v>0</v>
      </c>
      <c r="FP25" s="548">
        <f>IF(FN25&gt;0,ROUNDUP(FO25,0),ROUNDDOWN(FO25,0))</f>
        <v>0</v>
      </c>
      <c r="FQ25" s="347"/>
      <c r="FR25" s="549">
        <f>IF(ISBLANK($AT25),ROUND(FM25*FP25,0),$AT25)</f>
        <v>0</v>
      </c>
      <c r="FS25" s="549">
        <f>FP25-FR25</f>
        <v>0</v>
      </c>
      <c r="FT25" s="550">
        <f>IF($P25="Yes",$AZ25,IF($E25="Under Agreement",$AZ25,0))</f>
        <v>0</v>
      </c>
      <c r="FU25" s="550">
        <f>IF(FM25&lt;0.15,(VLOOKUP($AN25,'Impact Fee'!$A$1:$E$10,5,FALSE)*FS25),0)</f>
        <v>0</v>
      </c>
      <c r="FV25" s="550">
        <f>FT25+FU25</f>
        <v>0</v>
      </c>
      <c r="FW25" s="550">
        <f>$AG25</f>
        <v>1250000</v>
      </c>
      <c r="FX25" s="550">
        <f>IF(GE25="y",FR25*$FX$2,FR25*$FX$3)</f>
        <v>0</v>
      </c>
      <c r="FY25" s="550">
        <f>IF(FM25&lt;0.4,(0.4-FM25)*FP25*FY$3,0)</f>
        <v>0</v>
      </c>
      <c r="FZ25" s="550">
        <f>IF((FW25-(FX25+FY25))&gt;0,FW25-(FX25+FY25),0)</f>
        <v>1250000</v>
      </c>
      <c r="GA25" s="550">
        <f>VLOOKUP($AI25,Funding!$A$1:$G$6,3,FALSE)*$AG25</f>
        <v>0</v>
      </c>
      <c r="GB25" s="550">
        <f>SUM(FV25,FY25,GA25)</f>
        <v>0</v>
      </c>
      <c r="GC25" s="550">
        <f>IF((FW25-(FX25+FY25))&lt;0,FW25-(FX25+FY25),0)</f>
        <v>0</v>
      </c>
      <c r="GD25" s="550">
        <f>GB25+GC25</f>
        <v>0</v>
      </c>
      <c r="GE25" s="550"/>
      <c r="GF25" s="550">
        <f>IF(GE25="y",FP25*$BF$2,FP25*$BF$3)</f>
        <v>0</v>
      </c>
      <c r="GG25" s="550">
        <f>DU25</f>
        <v>5400000</v>
      </c>
      <c r="GH25" s="550">
        <f>IF(FP25&gt;79,IF(FM25&gt;0,-$BJ$2*GF25,0),0)</f>
        <v>0</v>
      </c>
      <c r="GI25" s="550">
        <f>IF(FP25&gt;79,IF(FM25=0,-$BJ$2*GF25,0),0)</f>
        <v>0</v>
      </c>
      <c r="GJ25" s="550">
        <f>IF(GG25&gt;$DX$3,-$BJ$2*GG25,0)</f>
        <v>0</v>
      </c>
      <c r="GK25" s="550">
        <f>SUM(GH25:GJ25)</f>
        <v>0</v>
      </c>
      <c r="GL25" s="550">
        <f>IF(FP25&gt;79,IF(FM25=1,0,-$BM$2*GF25),0)</f>
        <v>0</v>
      </c>
      <c r="GM25" s="550">
        <f>IF(GG25&gt;$DZ$3,-$BM$2*GG25,0)</f>
        <v>0</v>
      </c>
      <c r="GN25" s="550">
        <f>GL25+GM25</f>
        <v>0</v>
      </c>
      <c r="GO25" s="199"/>
      <c r="GP25" s="275"/>
      <c r="GQ25" s="199">
        <f>IF(ISBLANK(GO25),ROUNDDOWN(AS25,0),ROUNDDOWN(GO25,0))</f>
        <v>0</v>
      </c>
      <c r="GR25" s="34">
        <v>0</v>
      </c>
      <c r="GS25" s="34">
        <f>IF(GR25&gt;0.2,0.35,VLOOKUP(GR25,'Density Bonus'!$A$1:$B$15,2,FALSE))</f>
        <v>0</v>
      </c>
      <c r="GT25" s="235">
        <f>IF($I25/$AK$3&gt;((1+GS25)*GQ25),(1+GS25)*GQ25,IF(GQ25&gt;($I25/$AK$3),GQ25,($I25/$AK$3)))</f>
        <v>0</v>
      </c>
      <c r="GU25" s="235">
        <f>IF(GS25&gt;0,ROUNDUP(GT25,0),ROUNDDOWN(GT25,0))</f>
        <v>0</v>
      </c>
      <c r="GV25" s="347"/>
      <c r="GW25" s="31">
        <f>IF(ISBLANK($AT25),GR25*GU25,$AT25)</f>
        <v>0</v>
      </c>
      <c r="GX25" s="31">
        <f>GU25-GW25</f>
        <v>0</v>
      </c>
      <c r="GY25" s="196">
        <f>IF($P25="Yes",$AZ25,IF($E25="Under Agreement",$AZ25,""))</f>
        <v>0</v>
      </c>
      <c r="GZ25" s="238">
        <f>IF(GR25&lt;1,$AG25+($AZ25-GY25),0)</f>
        <v>1250000</v>
      </c>
      <c r="HA25" s="238">
        <f>SUM(HK25:HM25)</f>
        <v>0</v>
      </c>
      <c r="HB25" s="238">
        <f>HN25+HO25</f>
        <v>0</v>
      </c>
      <c r="HC25" s="238">
        <f t="shared" si="224"/>
        <v>1250000</v>
      </c>
      <c r="HD25" s="238">
        <f>VLOOKUP($AI25,Funding!$A$1:$G$6,7,FALSE)*HC25</f>
        <v>625000</v>
      </c>
      <c r="HE25" s="238">
        <f>SUM(GY25,HD25)</f>
        <v>625000</v>
      </c>
      <c r="HF25" s="238">
        <f t="shared" si="226"/>
        <v>0</v>
      </c>
      <c r="HG25" s="238">
        <f>HE25+HF25</f>
        <v>625000</v>
      </c>
      <c r="HH25" s="238"/>
      <c r="HI25" s="238">
        <f>IF(HH25="y",GU25*$BF$2,GU25*$BF$3)</f>
        <v>0</v>
      </c>
      <c r="HJ25" s="238">
        <f>$BG25</f>
        <v>5400000</v>
      </c>
      <c r="HK25" s="238">
        <f>IF(GU25&gt;79,IF(GR25&gt;0,-$BJ$2*HI25,0),0)</f>
        <v>0</v>
      </c>
      <c r="HL25" s="238">
        <f>IF(GU25&gt;79,IF(GR25=0,-$BJ$2*HI25,0),0)</f>
        <v>0</v>
      </c>
      <c r="HM25" s="238">
        <f>IF(HJ25&gt;$HM$3,-$BJ$2*HJ25,0)</f>
        <v>0</v>
      </c>
      <c r="HN25" s="238">
        <f>IF(GU25&gt;79,-$BM$2*HI25*(1-GR25),0)</f>
        <v>0</v>
      </c>
      <c r="HO25" s="238">
        <f>IF(HJ25&gt;$HO$3,-$BM$2*HJ25,0)</f>
        <v>0</v>
      </c>
      <c r="HP25" s="397"/>
      <c r="HQ25" s="424"/>
      <c r="HR25" s="426">
        <f>AH25</f>
        <v>1250000</v>
      </c>
      <c r="HS25" s="425">
        <f t="shared" si="278"/>
        <v>0</v>
      </c>
      <c r="HT25" s="425">
        <f t="shared" si="278"/>
        <v>0</v>
      </c>
      <c r="HU25" s="429">
        <f>J25</f>
        <v>20000</v>
      </c>
      <c r="HV25" s="429">
        <f>K25</f>
        <v>0</v>
      </c>
      <c r="HW25" s="429">
        <f t="shared" si="279"/>
        <v>0</v>
      </c>
      <c r="HX25" s="429">
        <f t="shared" si="279"/>
        <v>0</v>
      </c>
      <c r="HY25" s="429">
        <f t="shared" si="279"/>
        <v>0</v>
      </c>
      <c r="HZ25" s="426">
        <f>IF(BE25="y",$BF$2,$BF$3)</f>
        <v>328000</v>
      </c>
      <c r="IA25" s="426">
        <v>270</v>
      </c>
      <c r="IB25" s="426">
        <v>270</v>
      </c>
      <c r="IC25" s="425"/>
      <c r="ID25" s="425"/>
      <c r="IE25" s="425"/>
      <c r="IF25" s="427">
        <f>(($HR25+((HS25+HT25)*HZ25)+(HU25*IA25)+(HV25*IB25)+(HW25*IC25)+(HX25*ID25))*0.01*0.29)</f>
        <v>19285</v>
      </c>
      <c r="IG25" s="428">
        <f>((1.17*IF25/0.29)*0.39)-IF25</f>
        <v>11058.95</v>
      </c>
      <c r="IH25" s="428">
        <f>HV25*400*0.01</f>
        <v>0</v>
      </c>
      <c r="II25" s="428">
        <f>(HT25*(IF(HQ25="Downtown",$HZ$1,$HZ$2))*12*0.01395)+(HU25*(IF(HQ25="Downtown",$IA$1,$IA$2))*12*0.01395)+(HV25*(IF(HQ25="Downtown",$IB$1,$IB$2))*12*0.01395)+(HW25*(IF(HQ25="Downtown",$IC$1,$IC$2))*12*0.0018)+(HX25*(IF(HQ25="Downtown",$ID$1,$ID$2))*12*0.01395)</f>
        <v>10546.2</v>
      </c>
      <c r="IJ25" s="428">
        <f>HW25*$IC$1*12*0.14</f>
        <v>0</v>
      </c>
      <c r="IK25" s="428">
        <f>SUM(IF25:IJ25)</f>
        <v>40890.15</v>
      </c>
      <c r="IL25" s="429">
        <f>(HU25/300)+(HV25/500)+(HW25/1.33)+(HX25/1000)</f>
        <v>66.666666666666671</v>
      </c>
      <c r="IM25" s="427">
        <f>Sites!AG25</f>
        <v>1250000</v>
      </c>
      <c r="IN25" s="428">
        <f>0.015*IM25</f>
        <v>18750</v>
      </c>
      <c r="IO25" s="429">
        <f>(((HS25+HT25)*HZ25)+(HU25*IA25)+(HV25*IB25)+(HW25*IC25)+(HX25*ID25))/$IO$1</f>
        <v>27</v>
      </c>
      <c r="IP25" s="426">
        <f>SUM(IT25:JW25)</f>
        <v>1428912.7281379511</v>
      </c>
      <c r="IQ25" s="426">
        <f>NPV(5%,IT25:JW25)</f>
        <v>784828.72572060663</v>
      </c>
      <c r="IR25" s="430">
        <v>2024</v>
      </c>
      <c r="IS25" s="431"/>
      <c r="IT25" s="431"/>
      <c r="IU25" s="431"/>
      <c r="IV25" s="431"/>
      <c r="IW25" s="428"/>
      <c r="IX25" s="428"/>
      <c r="IY25" s="428"/>
      <c r="IZ25" s="428">
        <f t="shared" si="294"/>
        <v>46969.9292530292</v>
      </c>
      <c r="JA25" s="428">
        <f t="shared" si="294"/>
        <v>47909.32783808979</v>
      </c>
      <c r="JB25" s="428">
        <f t="shared" si="294"/>
        <v>48867.514394851583</v>
      </c>
      <c r="JC25" s="428">
        <f t="shared" si="294"/>
        <v>49844.864682748615</v>
      </c>
      <c r="JD25" s="428">
        <f t="shared" si="294"/>
        <v>50841.761976403584</v>
      </c>
      <c r="JE25" s="428">
        <f t="shared" si="294"/>
        <v>51858.597215931659</v>
      </c>
      <c r="JF25" s="428">
        <f t="shared" si="294"/>
        <v>52895.769160250289</v>
      </c>
      <c r="JG25" s="428">
        <f t="shared" si="294"/>
        <v>53953.684543455303</v>
      </c>
      <c r="JH25" s="428">
        <f t="shared" si="294"/>
        <v>55032.758234324392</v>
      </c>
      <c r="JI25" s="428">
        <f t="shared" si="294"/>
        <v>56133.413399010889</v>
      </c>
      <c r="JJ25" s="428">
        <f t="shared" si="295"/>
        <v>57256.081666991115</v>
      </c>
      <c r="JK25" s="428">
        <f t="shared" si="295"/>
        <v>58401.203300330933</v>
      </c>
      <c r="JL25" s="428">
        <f t="shared" si="295"/>
        <v>59569.227366337545</v>
      </c>
      <c r="JM25" s="428">
        <f t="shared" si="295"/>
        <v>60760.611913664303</v>
      </c>
      <c r="JN25" s="428">
        <f t="shared" si="295"/>
        <v>61975.824151937588</v>
      </c>
      <c r="JO25" s="428">
        <f t="shared" si="295"/>
        <v>63215.340634976339</v>
      </c>
      <c r="JP25" s="428">
        <f t="shared" si="295"/>
        <v>64479.647447675852</v>
      </c>
      <c r="JQ25" s="428">
        <f t="shared" si="295"/>
        <v>65769.240396629379</v>
      </c>
      <c r="JR25" s="428">
        <f t="shared" si="295"/>
        <v>67084.625204561962</v>
      </c>
      <c r="JS25" s="428">
        <f t="shared" si="295"/>
        <v>68426.317708653209</v>
      </c>
      <c r="JT25" s="428">
        <f t="shared" si="295"/>
        <v>69794.844062826262</v>
      </c>
      <c r="JU25" s="428">
        <f t="shared" si="295"/>
        <v>71190.740944082805</v>
      </c>
      <c r="JV25" s="428">
        <f t="shared" si="295"/>
        <v>72614.555762964446</v>
      </c>
      <c r="JW25" s="428">
        <f t="shared" si="295"/>
        <v>74066.846878223747</v>
      </c>
      <c r="JX25" s="432"/>
      <c r="JY25" s="435">
        <f t="shared" si="282"/>
        <v>0</v>
      </c>
      <c r="JZ25" s="435">
        <f t="shared" si="282"/>
        <v>0</v>
      </c>
      <c r="KA25" s="435">
        <f t="shared" si="283"/>
        <v>20000</v>
      </c>
      <c r="KB25" s="435">
        <f t="shared" si="283"/>
        <v>0</v>
      </c>
      <c r="KC25" s="435">
        <f t="shared" si="283"/>
        <v>0</v>
      </c>
      <c r="KD25" s="435">
        <f t="shared" si="283"/>
        <v>0</v>
      </c>
      <c r="KE25" s="435">
        <f t="shared" si="283"/>
        <v>0</v>
      </c>
      <c r="KF25" s="432">
        <f>IF(CI25="y",$BF$2,$BF$3)</f>
        <v>328000</v>
      </c>
      <c r="KG25" s="445">
        <f t="shared" si="284"/>
        <v>270</v>
      </c>
      <c r="KH25" s="445">
        <f t="shared" si="284"/>
        <v>270</v>
      </c>
      <c r="KI25" s="445">
        <f t="shared" si="284"/>
        <v>0</v>
      </c>
      <c r="KJ25" s="445">
        <f t="shared" si="284"/>
        <v>0</v>
      </c>
      <c r="KK25" s="445">
        <f t="shared" si="284"/>
        <v>0</v>
      </c>
      <c r="KL25" s="434">
        <f>(($HR25+(JZ25*KF25)+(KA25*KG25)+(KB25*KH25)+(KC25*KI25)+(KD25*KJ25))*0.01*0.29)</f>
        <v>19285</v>
      </c>
      <c r="KM25" s="432">
        <f>((1.17*KL25/0.29)*0.39)-KL25</f>
        <v>11058.95</v>
      </c>
      <c r="KN25" s="432">
        <f>KB25*400*0.01</f>
        <v>0</v>
      </c>
      <c r="KO25" s="432">
        <f>(JZ25*(IF($HQ25="Downtown",$HZ$1,$HZ$2))*12*0.01395)+(KA25*(IF($HQ25="Downtown",$IA$1,$IA$2))*12*0.01395)+(KB25*(IF($HQ25="Downtown",$IB$1,$IB$2))*12*0.01395)+(KC25*(IF($HQ25="Downtown",$IC$1,$IC$2))*12*0.0018)+(KD25*(IF($HQ25="Downtown",$ID$1,$ID$2))*12*0.01395)</f>
        <v>10546.2</v>
      </c>
      <c r="KP25" s="432">
        <f>KC25*$IC$1*12*0.14</f>
        <v>0</v>
      </c>
      <c r="KQ25" s="432">
        <f>SUM(KL25:KP25)</f>
        <v>40890.15</v>
      </c>
      <c r="KR25" s="435">
        <f>(KA25/300)+(KB25/500)+(KC25/1.33)+(KD25/1000)</f>
        <v>66.666666666666671</v>
      </c>
      <c r="KS25" s="434">
        <f>CD25</f>
        <v>1250000</v>
      </c>
      <c r="KT25" s="432">
        <f>0.015*KS25</f>
        <v>18750</v>
      </c>
      <c r="KU25" s="435">
        <f>(((JY25+JZ25)*KF25)+(KA25*KG25)+(KB25*KH25)+(KC25*KI25)+(KD25*KJ25))/$IO$1</f>
        <v>27</v>
      </c>
      <c r="KV25" s="433">
        <f>SUM(KZ25:MC25)</f>
        <v>1428912.7281379511</v>
      </c>
      <c r="KW25" s="433">
        <f>NPV(5%,KZ25:MC25)</f>
        <v>784828.72572060663</v>
      </c>
      <c r="KX25" s="436">
        <f>IR25</f>
        <v>2024</v>
      </c>
      <c r="KY25" s="411"/>
      <c r="KZ25" s="411"/>
      <c r="LA25" s="411"/>
      <c r="LB25" s="411"/>
      <c r="LC25" s="411"/>
      <c r="LD25" s="411"/>
      <c r="LE25" s="411"/>
      <c r="LF25" s="446">
        <f t="shared" si="296"/>
        <v>46969.9292530292</v>
      </c>
      <c r="LG25" s="446">
        <f t="shared" si="296"/>
        <v>47909.32783808979</v>
      </c>
      <c r="LH25" s="446">
        <f t="shared" si="296"/>
        <v>48867.514394851583</v>
      </c>
      <c r="LI25" s="446">
        <f t="shared" si="296"/>
        <v>49844.864682748615</v>
      </c>
      <c r="LJ25" s="446">
        <f t="shared" si="296"/>
        <v>50841.761976403584</v>
      </c>
      <c r="LK25" s="446">
        <f t="shared" si="296"/>
        <v>51858.597215931659</v>
      </c>
      <c r="LL25" s="446">
        <f t="shared" si="296"/>
        <v>52895.769160250289</v>
      </c>
      <c r="LM25" s="446">
        <f t="shared" si="296"/>
        <v>53953.684543455303</v>
      </c>
      <c r="LN25" s="446">
        <f t="shared" si="296"/>
        <v>55032.758234324392</v>
      </c>
      <c r="LO25" s="446">
        <f t="shared" si="296"/>
        <v>56133.413399010889</v>
      </c>
      <c r="LP25" s="446">
        <f t="shared" si="297"/>
        <v>57256.081666991115</v>
      </c>
      <c r="LQ25" s="446">
        <f t="shared" si="297"/>
        <v>58401.203300330933</v>
      </c>
      <c r="LR25" s="446">
        <f t="shared" si="297"/>
        <v>59569.227366337545</v>
      </c>
      <c r="LS25" s="446">
        <f t="shared" si="297"/>
        <v>60760.611913664303</v>
      </c>
      <c r="LT25" s="446">
        <f t="shared" si="297"/>
        <v>61975.824151937588</v>
      </c>
      <c r="LU25" s="446">
        <f t="shared" si="297"/>
        <v>63215.340634976339</v>
      </c>
      <c r="LV25" s="446">
        <f t="shared" si="297"/>
        <v>64479.647447675852</v>
      </c>
      <c r="LW25" s="446">
        <f t="shared" si="297"/>
        <v>65769.240396629379</v>
      </c>
      <c r="LX25" s="446">
        <f t="shared" si="297"/>
        <v>67084.625204561962</v>
      </c>
      <c r="LY25" s="446">
        <f t="shared" si="297"/>
        <v>68426.317708653209</v>
      </c>
      <c r="LZ25" s="446">
        <f t="shared" si="297"/>
        <v>69794.844062826262</v>
      </c>
      <c r="MA25" s="446">
        <f t="shared" si="297"/>
        <v>71190.740944082805</v>
      </c>
      <c r="MB25" s="446">
        <f t="shared" si="297"/>
        <v>72614.555762964446</v>
      </c>
      <c r="MC25" s="446">
        <f t="shared" si="297"/>
        <v>74066.846878223747</v>
      </c>
      <c r="MD25" s="496"/>
      <c r="ME25" s="497">
        <f t="shared" si="287"/>
        <v>20000</v>
      </c>
      <c r="MF25" s="497">
        <f t="shared" si="287"/>
        <v>0</v>
      </c>
      <c r="MG25" s="497">
        <f t="shared" si="287"/>
        <v>0</v>
      </c>
      <c r="MH25" s="497">
        <f t="shared" si="287"/>
        <v>0</v>
      </c>
      <c r="MI25" s="497">
        <f t="shared" si="287"/>
        <v>0</v>
      </c>
      <c r="MJ25" s="498">
        <f t="shared" si="288"/>
        <v>270</v>
      </c>
      <c r="MK25" s="498">
        <f t="shared" si="288"/>
        <v>270</v>
      </c>
      <c r="ML25" s="498">
        <f t="shared" si="288"/>
        <v>0</v>
      </c>
      <c r="MM25" s="498">
        <f t="shared" si="288"/>
        <v>0</v>
      </c>
      <c r="MN25" s="498">
        <f t="shared" si="288"/>
        <v>0</v>
      </c>
      <c r="MO25" s="454"/>
      <c r="MP25" s="448">
        <f t="shared" si="289"/>
        <v>0</v>
      </c>
      <c r="MQ25" s="448">
        <f t="shared" si="289"/>
        <v>0</v>
      </c>
      <c r="MR25" s="448">
        <f t="shared" si="290"/>
        <v>20000</v>
      </c>
      <c r="MS25" s="448">
        <f t="shared" si="290"/>
        <v>0</v>
      </c>
      <c r="MT25" s="448">
        <f t="shared" si="290"/>
        <v>0</v>
      </c>
      <c r="MU25" s="448">
        <f t="shared" si="290"/>
        <v>0</v>
      </c>
      <c r="MV25" s="448">
        <f t="shared" si="290"/>
        <v>0</v>
      </c>
      <c r="MW25" s="450">
        <f>IF(HH25="y",$BF$2,$BF$3)</f>
        <v>328000</v>
      </c>
      <c r="MX25" s="450">
        <f t="shared" si="291"/>
        <v>270</v>
      </c>
      <c r="MY25" s="450">
        <f t="shared" si="291"/>
        <v>270</v>
      </c>
      <c r="MZ25" s="450">
        <f t="shared" si="291"/>
        <v>0</v>
      </c>
      <c r="NA25" s="450">
        <f t="shared" si="291"/>
        <v>0</v>
      </c>
      <c r="NB25" s="450">
        <f t="shared" si="291"/>
        <v>0</v>
      </c>
      <c r="NC25" s="451">
        <f>IF($P25="Yes",$IF25,IF($E25="Under Agreement",$IF25,0))</f>
        <v>19285</v>
      </c>
      <c r="ND25" s="449">
        <f>((1.17*NC25/0.29)*0.39)-NC25</f>
        <v>11058.95</v>
      </c>
      <c r="NE25" s="449">
        <f>MS25*400*0.01</f>
        <v>0</v>
      </c>
      <c r="NF25" s="449">
        <f>(MQ25*(IF($HQ25="Downtown",$HZ$1,$HZ$2))*12*0.01395)+(MR25*(IF($HQ25="Downtown",$IA$1,$IA$2))*12*0.01395)+(MS25*(IF($HQ25="Downtown",$IB$1,$IB$2))*12*0.01395)+(MT25*(IF($HQ25="Downtown",$IC$1,$IC$2))*12*0.0018)+(MU25*(IF($HQ25="Downtown",$ID$1,$ID$2))*12*0.01395)</f>
        <v>10546.2</v>
      </c>
      <c r="NG25" s="449">
        <f>MT25*$IC$1*12*0.14</f>
        <v>0</v>
      </c>
      <c r="NH25" s="449">
        <f>SUM(NC25:NG25)</f>
        <v>40890.15</v>
      </c>
      <c r="NI25" s="448">
        <f>(MR25/300)+(MS25/500)+(MT25/1.33)+(MU25/1000)</f>
        <v>66.666666666666671</v>
      </c>
      <c r="NJ25" s="451">
        <f>GZ25</f>
        <v>1250000</v>
      </c>
      <c r="NK25" s="449">
        <f>0.015*NJ25</f>
        <v>18750</v>
      </c>
      <c r="NL25" s="448">
        <f>(((MP25+MQ25)*MW25)+(MR25*MX25)+(MS25*MY25)+(MT25*MZ25)+(MU25*NA25))/$IO$1</f>
        <v>27</v>
      </c>
      <c r="NM25" s="452">
        <f>SUM(NQ25:OT25)</f>
        <v>1428912.7281379511</v>
      </c>
      <c r="NN25" s="452">
        <f>NPV(5%,NQ25:OT25)</f>
        <v>784828.72572060663</v>
      </c>
      <c r="NO25" s="453">
        <f>KX25</f>
        <v>2024</v>
      </c>
      <c r="NP25" s="423"/>
      <c r="NQ25" s="423"/>
      <c r="NR25" s="423"/>
      <c r="NS25" s="423"/>
      <c r="NT25" s="423"/>
      <c r="NU25" s="423"/>
      <c r="NV25" s="423"/>
      <c r="NW25" s="454">
        <f t="shared" si="298"/>
        <v>46969.9292530292</v>
      </c>
      <c r="NX25" s="454">
        <f t="shared" si="298"/>
        <v>47909.32783808979</v>
      </c>
      <c r="NY25" s="454">
        <f t="shared" si="298"/>
        <v>48867.514394851583</v>
      </c>
      <c r="NZ25" s="454">
        <f t="shared" si="298"/>
        <v>49844.864682748615</v>
      </c>
      <c r="OA25" s="454">
        <f t="shared" si="298"/>
        <v>50841.761976403584</v>
      </c>
      <c r="OB25" s="454">
        <f t="shared" si="298"/>
        <v>51858.597215931659</v>
      </c>
      <c r="OC25" s="454">
        <f t="shared" si="298"/>
        <v>52895.769160250289</v>
      </c>
      <c r="OD25" s="454">
        <f t="shared" si="298"/>
        <v>53953.684543455303</v>
      </c>
      <c r="OE25" s="454">
        <f t="shared" si="298"/>
        <v>55032.758234324392</v>
      </c>
      <c r="OF25" s="454">
        <f t="shared" si="298"/>
        <v>56133.413399010889</v>
      </c>
      <c r="OG25" s="454">
        <f t="shared" si="299"/>
        <v>57256.081666991115</v>
      </c>
      <c r="OH25" s="454">
        <f t="shared" si="299"/>
        <v>58401.203300330933</v>
      </c>
      <c r="OI25" s="454">
        <f t="shared" si="299"/>
        <v>59569.227366337545</v>
      </c>
      <c r="OJ25" s="454">
        <f t="shared" si="299"/>
        <v>60760.611913664303</v>
      </c>
      <c r="OK25" s="454">
        <f t="shared" si="299"/>
        <v>61975.824151937588</v>
      </c>
      <c r="OL25" s="454">
        <f t="shared" si="299"/>
        <v>63215.340634976339</v>
      </c>
      <c r="OM25" s="454">
        <f t="shared" si="299"/>
        <v>64479.647447675852</v>
      </c>
      <c r="ON25" s="454">
        <f t="shared" si="299"/>
        <v>65769.240396629379</v>
      </c>
      <c r="OO25" s="454">
        <f t="shared" si="299"/>
        <v>67084.625204561962</v>
      </c>
      <c r="OP25" s="454">
        <f t="shared" si="299"/>
        <v>68426.317708653209</v>
      </c>
      <c r="OQ25" s="454">
        <f t="shared" si="299"/>
        <v>69794.844062826262</v>
      </c>
      <c r="OR25" s="454">
        <f t="shared" si="299"/>
        <v>71190.740944082805</v>
      </c>
      <c r="OS25" s="454">
        <f t="shared" si="299"/>
        <v>72614.555762964446</v>
      </c>
      <c r="OT25" s="454">
        <f t="shared" si="299"/>
        <v>74066.846878223747</v>
      </c>
    </row>
    <row r="26" spans="1:410" s="11" customFormat="1" ht="45">
      <c r="A26" s="19" t="s">
        <v>14</v>
      </c>
      <c r="B26" s="19" t="s">
        <v>337</v>
      </c>
      <c r="C26" s="19" t="s">
        <v>16</v>
      </c>
      <c r="D26" s="19">
        <v>1</v>
      </c>
      <c r="E26" s="19" t="s">
        <v>293</v>
      </c>
      <c r="F26" s="19" t="s">
        <v>279</v>
      </c>
      <c r="G26" s="23">
        <v>12</v>
      </c>
      <c r="H26" s="23"/>
      <c r="I26" s="442">
        <v>274428</v>
      </c>
      <c r="J26" s="20"/>
      <c r="K26" s="20"/>
      <c r="L26" s="20"/>
      <c r="M26" s="20">
        <f>I26</f>
        <v>274428</v>
      </c>
      <c r="N26" s="20"/>
      <c r="O26" s="442">
        <f t="shared" ref="O26" si="300">SUM(J26:N26)</f>
        <v>274428</v>
      </c>
      <c r="P26" s="21" t="s">
        <v>296</v>
      </c>
      <c r="Q26" s="21" t="s">
        <v>44</v>
      </c>
      <c r="R26" s="27">
        <v>0</v>
      </c>
      <c r="S26" s="27">
        <v>2</v>
      </c>
      <c r="T26" s="27">
        <f t="shared" ref="T26" si="301">I26*S26</f>
        <v>548856</v>
      </c>
      <c r="U26" s="21"/>
      <c r="V26" s="19" t="s">
        <v>57</v>
      </c>
      <c r="W26" s="22" t="s">
        <v>100</v>
      </c>
      <c r="X26" s="19" t="s">
        <v>62</v>
      </c>
      <c r="Y26" s="19"/>
      <c r="Z26" s="19" t="s">
        <v>15</v>
      </c>
      <c r="AA26" s="219" t="s">
        <v>89</v>
      </c>
      <c r="AB26" s="219" t="s">
        <v>80</v>
      </c>
      <c r="AC26" s="224">
        <v>35</v>
      </c>
      <c r="AD26" s="224">
        <f t="shared" ref="AD26" si="302">AC26*I26</f>
        <v>9604980</v>
      </c>
      <c r="AE26" s="24"/>
      <c r="AF26" s="273"/>
      <c r="AG26" s="220">
        <f t="shared" ref="AG26" si="303">IF(ISBLANK(AE26),AD26,AE26)</f>
        <v>9604980</v>
      </c>
      <c r="AH26" s="220">
        <f>AG26</f>
        <v>9604980</v>
      </c>
      <c r="AI26" s="24" t="s">
        <v>248</v>
      </c>
      <c r="AJ26" s="228">
        <f>VLOOKUP($Q26,'Zoning Density'!$A$1:$E$28,3,)</f>
        <v>0</v>
      </c>
      <c r="AK26" s="228">
        <f t="shared" ref="AK26" si="304">IF(AJ26=0,0,(IF(AJ26&gt;$AK$3,AJ26,$AK$3)))</f>
        <v>0</v>
      </c>
      <c r="AL26" s="229">
        <f t="shared" ref="AL26" si="305">IF(AJ26&gt;0,I26/AJ26,0)</f>
        <v>0</v>
      </c>
      <c r="AM26" s="229">
        <f>IF(AK26&gt;0,I26/$AK26,0)</f>
        <v>0</v>
      </c>
      <c r="AN26" s="228">
        <v>3</v>
      </c>
      <c r="AO26" s="221">
        <f>VLOOKUP($AI26,Funding!$A$1:$G$6,3,FALSE)*$AG26</f>
        <v>0</v>
      </c>
      <c r="AP26" s="221">
        <f>VLOOKUP($AI26,Funding!$A$1:$G$6,4,FALSE)*$AG26</f>
        <v>9604980</v>
      </c>
      <c r="AQ26" s="351"/>
      <c r="AR26" s="274" t="s">
        <v>442</v>
      </c>
      <c r="AS26" s="222">
        <f>IF(ISBLANK(AQ26),ROUNDDOWN($AM26,0),ROUNDDOWN(AQ26,0))</f>
        <v>0</v>
      </c>
      <c r="AT26" s="222"/>
      <c r="AU26" s="222">
        <f t="shared" ref="AU26" si="306">AS26-AT26</f>
        <v>0</v>
      </c>
      <c r="AV26" s="221">
        <f>VLOOKUP($AN26,'Impact Fee'!$A$1:$E$20,5,FALSE)*AU26</f>
        <v>0</v>
      </c>
      <c r="AW26" s="221">
        <f>IF(P26="yes",IF((J26+M26)&gt;25000,(J26+M26-25000)*6,0),0)</f>
        <v>1496568</v>
      </c>
      <c r="AX26" s="221"/>
      <c r="AY26" s="321"/>
      <c r="AZ26" s="221">
        <f>IF(ISBLANK(AX26),AV26+AW26,AX26)</f>
        <v>1496568</v>
      </c>
      <c r="BA26" s="221">
        <f t="shared" ref="BA26" si="307">AO26+AZ26</f>
        <v>1496568</v>
      </c>
      <c r="BB26" s="221">
        <f t="shared" ref="BB26" si="308">AP26+AZ26</f>
        <v>11101548</v>
      </c>
      <c r="BC26" s="271">
        <f t="shared" si="276"/>
        <v>11.972543999999999</v>
      </c>
      <c r="BD26" s="271">
        <f t="shared" si="277"/>
        <v>88.812383999999994</v>
      </c>
      <c r="BE26" s="271"/>
      <c r="BF26" s="221">
        <f t="shared" ref="BF26" si="309">IF(BE26="y",AS26*$BF$2,AS26*$BF$3)</f>
        <v>0</v>
      </c>
      <c r="BG26" s="221">
        <f>($HU26*$IA26)+($HV26*$IB26)+($HX26*$ID26)+($HY26*$IE26)</f>
        <v>49397040</v>
      </c>
      <c r="BH26" s="221">
        <f t="shared" ref="BH26" si="310">IF(AU26&gt;79,-$BJ$2*BF26,0)</f>
        <v>0</v>
      </c>
      <c r="BI26" s="221">
        <f t="shared" ref="BI26" si="311">IF(BG26&gt;$BI$3,-$BJ$2*BG26,0)</f>
        <v>-2469852</v>
      </c>
      <c r="BJ26" s="221">
        <f t="shared" ref="BJ26" si="312">BH26+BI26</f>
        <v>-2469852</v>
      </c>
      <c r="BK26" s="221">
        <f t="shared" ref="BK26" si="313">IF(AU26&gt;79,-$BM$2*BF26,0)</f>
        <v>0</v>
      </c>
      <c r="BL26" s="221">
        <f t="shared" ref="BL26" si="314">IF(BG26&gt;$BL$3,-$BM$2*BG26,0)</f>
        <v>-2469852</v>
      </c>
      <c r="BM26" s="221">
        <f t="shared" ref="BM26" si="315">BK26+BL26</f>
        <v>-2469852</v>
      </c>
      <c r="BN26" s="259"/>
      <c r="BO26" s="260"/>
      <c r="BP26" s="259">
        <f>IF(ISBLANK(BN26),ROUNDDOWN(AS26,0),ROUNDDOWN(BN26,0))</f>
        <v>0</v>
      </c>
      <c r="BQ26" s="261">
        <v>0</v>
      </c>
      <c r="BR26" s="261">
        <f>IF(BQ26&gt;0.2,0.35,VLOOKUP(BQ26,'Density Bonus'!$A$1:$B$15,2,FALSE))</f>
        <v>0</v>
      </c>
      <c r="BS26" s="262">
        <f>IF($I26/$AK$3&gt;((1+BR26)*BP26),(1+BR26)*BP26,IF(BP26&gt;($I26/$AK$3),BP26,($I26/$AK$3)))</f>
        <v>0</v>
      </c>
      <c r="BT26" s="262">
        <f t="shared" ref="BT26" si="316">IF(BR26&gt;0,ROUNDUP(BS26,0),ROUNDDOWN(BS26,0))</f>
        <v>0</v>
      </c>
      <c r="BU26" s="349"/>
      <c r="BV26" s="263">
        <f>BQ26*BT26</f>
        <v>0</v>
      </c>
      <c r="BW26" s="263">
        <f>BT26-BV26</f>
        <v>0</v>
      </c>
      <c r="BX26" s="264">
        <f>IF(F26="Commercial",IF((J26+M26)&gt;25000,(J26+M26-25000)*6,0),0)</f>
        <v>1496568</v>
      </c>
      <c r="BY26" s="264">
        <f>IF(BQ26&lt;0.15,(VLOOKUP($AN26,'Impact Fee'!$A$1:$E$10,5,FALSE)*BW26),0)</f>
        <v>0</v>
      </c>
      <c r="BZ26" s="264">
        <f t="shared" ref="BZ26" si="317">BX26+BY26</f>
        <v>1496568</v>
      </c>
      <c r="CA26" s="264">
        <f>IF(BQ26&lt;1,IF(BY26&gt;0,$AG26+($AZ26-BZ26),$AG26),0)</f>
        <v>9604980</v>
      </c>
      <c r="CB26" s="264">
        <f>IF(BQ26&lt;0.15,BW26*IF(CI26="y",$CC$2,$CC$3),0)</f>
        <v>0</v>
      </c>
      <c r="CC26" s="264">
        <f t="shared" ref="CC26" si="318">IF(CB26&gt;CA26,CA26,CB26)</f>
        <v>0</v>
      </c>
      <c r="CD26" s="264">
        <f>IF(BQ26&lt;1,$AG26,0)</f>
        <v>9604980</v>
      </c>
      <c r="CE26" s="264">
        <f>CD26*IF(F26="Commercial",CE$3,VLOOKUP($AI26,Funding!$A$1:$G$6,5,FALSE))</f>
        <v>3841992</v>
      </c>
      <c r="CF26" s="264">
        <f>SUM(BZ26,CC26,CE26)</f>
        <v>5338560</v>
      </c>
      <c r="CG26" s="264">
        <f>BV26*$CG$3</f>
        <v>0</v>
      </c>
      <c r="CH26" s="264">
        <f t="shared" ref="CH26" si="319">CF26+CG26</f>
        <v>5338560</v>
      </c>
      <c r="CI26" s="264"/>
      <c r="CJ26" s="264">
        <f>IF(CI26="y",BT26*$BF$2,BT26*$BF$3)</f>
        <v>0</v>
      </c>
      <c r="CK26" s="264">
        <f>($KA26*$KG26)+($KB26*$KH26)+($KD26*$KJ26)+($KE26*$KK26)</f>
        <v>49397040</v>
      </c>
      <c r="CL26" s="264">
        <f>IF(BT26&gt;79,IF(BQ26&gt;0,-$BJ$2*CJ26,0),0)</f>
        <v>0</v>
      </c>
      <c r="CM26" s="264">
        <f>IF(BT26&gt;79,IF(BQ26=0,-$BJ$2*CJ26,0),0)</f>
        <v>0</v>
      </c>
      <c r="CN26" s="264">
        <f>IF(CK26&gt;$CN$3,-$BJ$2*CK26,0)</f>
        <v>-2469852</v>
      </c>
      <c r="CO26" s="264">
        <f t="shared" ref="CO26" si="320">SUM(CL26:CN26)</f>
        <v>-2469852</v>
      </c>
      <c r="CP26" s="264">
        <f>IF(BT26&gt;79,-$BM$2*CJ26*(1-BQ26),0)</f>
        <v>0</v>
      </c>
      <c r="CQ26" s="264">
        <f>IF(CK26&gt;$CQ$3,-$BM$2*CK26,0)</f>
        <v>-2469852</v>
      </c>
      <c r="CR26" s="264">
        <f t="shared" ref="CR26" si="321">CP26+CQ26</f>
        <v>-2469852</v>
      </c>
      <c r="CS26" s="520"/>
      <c r="CT26" s="521"/>
      <c r="CU26" s="520">
        <f>IF(ISBLANK(CS26),ROUNDDOWN($AS26,0),ROUNDDOWN(CS26,0))</f>
        <v>0</v>
      </c>
      <c r="CV26" s="522">
        <v>0</v>
      </c>
      <c r="CW26" s="522">
        <f>IF(CV26&gt;0.2,0.35,VLOOKUP(CV26,'Density Bonus'!$A$1:$B$15,2,FALSE))</f>
        <v>0</v>
      </c>
      <c r="CX26" s="523">
        <f>IF($I26/$AK$3&gt;((1+CW26)*CU26),(1+CW26)*CU26,IF(CU26&gt;($I26/$AK$3),CU26,($I26/$AK$3)))</f>
        <v>0</v>
      </c>
      <c r="CY26" s="523">
        <f t="shared" ref="CY26" si="322">IF(CW26&gt;0,ROUNDUP(CX26,0),ROUNDDOWN(CX26,0))</f>
        <v>0</v>
      </c>
      <c r="CZ26" s="347"/>
      <c r="DA26" s="524">
        <f>IF(ISBLANK($AT26),ROUND(CV26*CY26,0),$AT26)</f>
        <v>0</v>
      </c>
      <c r="DB26" s="524">
        <f>CY26-DA26</f>
        <v>0</v>
      </c>
      <c r="DC26" s="525">
        <f>IF($P26="Yes",$AZ26,IF($E26="Under Agreement",$AZ26,0))</f>
        <v>1496568</v>
      </c>
      <c r="DD26" s="525">
        <f>IF(CV26&lt;0.4,VLOOKUP($AN26,'Impact Fee'!$A$1:$E$10,5,FALSE)*DB26,0)</f>
        <v>0</v>
      </c>
      <c r="DE26" s="525">
        <f>IF(CV26&lt;1,DC26+DD26,0)</f>
        <v>1496568</v>
      </c>
      <c r="DF26" s="525">
        <f>IF(CV26&lt;1,$AG26+DD26,0)</f>
        <v>9604980</v>
      </c>
      <c r="DG26" s="525">
        <f>IF(CV26&lt;1,IF(DS26="y",DA26*$DG$2,DA26*$DG$3),DA26*$HF$3)</f>
        <v>0</v>
      </c>
      <c r="DH26" s="525">
        <f>IF(CV26&lt;0.4,(0.4-CV26)*CY26*$DH$3,0)</f>
        <v>0</v>
      </c>
      <c r="DI26" s="525">
        <f>DF26-(DG26-DL26-DM26)</f>
        <v>4665276</v>
      </c>
      <c r="DJ26" s="525">
        <f t="shared" ref="DJ26" si="323">IF(DI26&gt;0,IF(DH26&gt;DI26,DI26,DH26),0)</f>
        <v>0</v>
      </c>
      <c r="DK26" s="525">
        <f>IF(CV26&lt;1,IF((DF26-(DG26+DJ26))&gt;0,DF26-(DG26+DJ26),0),0)</f>
        <v>9604980</v>
      </c>
      <c r="DL26" s="525">
        <f>SUM(DV26:DX26)</f>
        <v>-2469852</v>
      </c>
      <c r="DM26" s="525">
        <f>DY26+DZ26</f>
        <v>-2469852</v>
      </c>
      <c r="DN26" s="525">
        <f>IF(CV26&lt;1,IF((DF26-(DG26+DJ26-DL26-DM26))&gt;0,DF26-(DG26+DJ26-DL26-DM26),0),0)</f>
        <v>4665276</v>
      </c>
      <c r="DO26" s="525">
        <f>VLOOKUP($AI26,Funding!$A$1:$G$6,6,FALSE)*DN26</f>
        <v>4665276</v>
      </c>
      <c r="DP26" s="525">
        <f t="shared" ref="DP26" si="324">SUM(DC26,DJ26,DO26)</f>
        <v>6161844</v>
      </c>
      <c r="DQ26" s="525">
        <f>IF((DF26-(DG26+DJ26-DL26-DM26))&lt;0,DF26-(DG26+DJ26-DL26-DM26),0)</f>
        <v>0</v>
      </c>
      <c r="DR26" s="525">
        <f t="shared" ref="DR26" si="325">DP26+DQ26</f>
        <v>6161844</v>
      </c>
      <c r="DS26" s="525"/>
      <c r="DT26" s="525">
        <f>IF(DS26="y",CY26*$BF$2,CY26*$BF$3)</f>
        <v>0</v>
      </c>
      <c r="DU26" s="525">
        <f>($ME26*$MJ26)+($MF26*$MK26)+($MH26*$MM26)+($MI26*$MN26)</f>
        <v>49397040</v>
      </c>
      <c r="DV26" s="525">
        <f>IF(CY26&gt;79,IF(CV26&gt;0,-$BJ$2*DT26,0),0)</f>
        <v>0</v>
      </c>
      <c r="DW26" s="525">
        <f>IF(CY26&gt;79,IF(CV26=0,-$BJ$2*DT26,0),0)</f>
        <v>0</v>
      </c>
      <c r="DX26" s="525">
        <f>IF(DU26&gt;$DX$3,-$BJ$2*DU26,0)</f>
        <v>-2469852</v>
      </c>
      <c r="DY26" s="525">
        <f>IF(CY26&gt;79,IF(CV26=1,0,-$BM$2*DT26),0)</f>
        <v>0</v>
      </c>
      <c r="DZ26" s="525">
        <f>IF(DU26&gt;$DZ$3,-$BM$2*DU26,0)</f>
        <v>-2469852</v>
      </c>
      <c r="EA26" s="819"/>
      <c r="EB26" s="820"/>
      <c r="EC26" s="819">
        <f>IF(ISBLANK(EA26),ROUNDDOWN($AS26,0),ROUNDDOWN(EA26,0))</f>
        <v>0</v>
      </c>
      <c r="ED26" s="821">
        <v>0</v>
      </c>
      <c r="EE26" s="821">
        <f>IF(ED26&gt;0.2,0.35,VLOOKUP(ED26,'Density Bonus'!$A$1:$B$15,2,FALSE))</f>
        <v>0</v>
      </c>
      <c r="EF26" s="822">
        <f>IF($I26/$AK$3&gt;((1+EE26)*EC26),(1+EE26)*EC26,IF(EC26&gt;($I26/$AK$3),EC26,($I26/$AK$3)))</f>
        <v>0</v>
      </c>
      <c r="EG26" s="822">
        <f t="shared" ref="EG26" si="326">IF(EE26&gt;0,ROUNDUP(EF26,0),ROUNDDOWN(EF26,0))</f>
        <v>0</v>
      </c>
      <c r="EH26" s="823"/>
      <c r="EI26" s="824">
        <f>IF(ISBLANK($AT26),ROUND(ED26*EG26,0),$AT26)</f>
        <v>0</v>
      </c>
      <c r="EJ26" s="824">
        <f>EG26-EI26</f>
        <v>0</v>
      </c>
      <c r="EK26" s="825">
        <f>IF($P26="Yes",$AZ26,IF($E26="Under Agreement",$AZ26,0))</f>
        <v>1496568</v>
      </c>
      <c r="EL26" s="825">
        <f>IF(ED26&lt;0.4,VLOOKUP($AN26,'Impact Fee'!$A$1:$E$10,5,FALSE)*EJ26,0)</f>
        <v>0</v>
      </c>
      <c r="EM26" s="825">
        <f>IF(ED26&lt;1,EK26+EL26,0)</f>
        <v>1496568</v>
      </c>
      <c r="EN26" s="825">
        <f>IF(ED26&lt;1,$AG26+EL26,0)</f>
        <v>9604980</v>
      </c>
      <c r="EO26" s="825">
        <f>IF(ED26&lt;1,IF(FA26="y",EI26*$DG$2,EI26*$DG$3),EI26*$HF$3)</f>
        <v>0</v>
      </c>
      <c r="EP26" s="825">
        <f>IF(ED26&lt;0.4,(0.4-ED26)*EG26*$DH$3,0)</f>
        <v>0</v>
      </c>
      <c r="EQ26" s="825">
        <f>EN26-(EO26-ET26-EU26)</f>
        <v>4665276</v>
      </c>
      <c r="ER26" s="825">
        <f t="shared" ref="ER26" si="327">IF(EQ26&gt;0,IF(EP26&gt;EQ26,EQ26,EP26),0)</f>
        <v>0</v>
      </c>
      <c r="ES26" s="825">
        <f>IF(ED26&lt;1,IF((EN26-(EO26+ER26))&gt;0,EN26-(EO26+ER26),0),0)</f>
        <v>9604980</v>
      </c>
      <c r="ET26" s="825">
        <f>SUM(FD26:FF26)</f>
        <v>-2469852</v>
      </c>
      <c r="EU26" s="825">
        <f>FG26+FH26</f>
        <v>-2469852</v>
      </c>
      <c r="EV26" s="825">
        <f>IF(ED26&lt;1,IF((EN26-(EO26+ER26-ET26-EU26))&gt;0,EN26-(EO26+ER26-ET26-EU26),0),0)</f>
        <v>4665276</v>
      </c>
      <c r="EW26" s="825">
        <f>VLOOKUP($AI26,Funding!$A$1:$G$6,6,FALSE)*EV26</f>
        <v>4665276</v>
      </c>
      <c r="EX26" s="825">
        <f t="shared" ref="EX26" si="328">SUM(EK26,ER26,EW26)</f>
        <v>6161844</v>
      </c>
      <c r="EY26" s="825">
        <f>IF((EN26-(EO26+ER26-ET26-EU26))&lt;0,EN26-(EO26+ER26-ET26-EU26),0)</f>
        <v>0</v>
      </c>
      <c r="EZ26" s="825">
        <f t="shared" ref="EZ26" si="329">EX26+EY26</f>
        <v>6161844</v>
      </c>
      <c r="FA26" s="825"/>
      <c r="FB26" s="825">
        <f>IF(FA26="y",EG26*$BF$2,EG26*$BF$3)</f>
        <v>0</v>
      </c>
      <c r="FC26" s="825">
        <f>($ME26*$MJ26)+($MF26*$MK26)+($MH26*$MM26)+($MI26*$MN26)</f>
        <v>49397040</v>
      </c>
      <c r="FD26" s="825">
        <f>IF(EG26&gt;79,IF(ED26&gt;0,-$BJ$2*FB26,0),0)</f>
        <v>0</v>
      </c>
      <c r="FE26" s="825">
        <f>IF(EG26&gt;79,IF(ED26=0,-$BJ$2*FB26,0),0)</f>
        <v>0</v>
      </c>
      <c r="FF26" s="825">
        <f>IF(FC26&gt;$DX$3,-$BJ$2*FC26,0)</f>
        <v>-2469852</v>
      </c>
      <c r="FG26" s="825">
        <f>IF(EG26&gt;79,IF(ED26=1,0,-$BM$2*FB26),0)</f>
        <v>0</v>
      </c>
      <c r="FH26" s="825">
        <f>IF(FC26&gt;$DZ$3,-$BM$2*FC26,0)</f>
        <v>-2469852</v>
      </c>
      <c r="FI26" s="545"/>
      <c r="FJ26" s="546"/>
      <c r="FK26" s="546" t="s">
        <v>323</v>
      </c>
      <c r="FL26" s="545">
        <f>IF(ISBLANK(FI26),ROUNDDOWN($AS26,0),ROUNDDOWN(FI26,0))</f>
        <v>0</v>
      </c>
      <c r="FM26" s="547">
        <v>0</v>
      </c>
      <c r="FN26" s="547">
        <f>IF(FM26&gt;0.2,0.35,VLOOKUP(FM26,'Density Bonus'!$A$1:$B$15,2,FALSE))</f>
        <v>0</v>
      </c>
      <c r="FO26" s="548">
        <f>IF($I26/$AK$3&gt;((1+FN26)*FL26),(1+FN26)*FL26,IF(FL26&gt;($I26/$AK$3),FL26,($I26/$AK$3)))</f>
        <v>0</v>
      </c>
      <c r="FP26" s="548">
        <f t="shared" ref="FP26" si="330">IF(FN26&gt;0,ROUNDUP(FO26,0),ROUNDDOWN(FO26,0))</f>
        <v>0</v>
      </c>
      <c r="FQ26" s="347"/>
      <c r="FR26" s="549">
        <f>IF(ISBLANK($AT26),ROUND(FM26*FP26,0),$AT26)</f>
        <v>0</v>
      </c>
      <c r="FS26" s="549">
        <f t="shared" ref="FS26" si="331">FP26-FR26</f>
        <v>0</v>
      </c>
      <c r="FT26" s="550">
        <f>IF($P26="Yes",$AZ26,IF($E26="Under Agreement",$AZ26,0))</f>
        <v>1496568</v>
      </c>
      <c r="FU26" s="550">
        <f>IF(FM26&lt;0.15,(VLOOKUP($AN26,'Impact Fee'!$A$1:$E$10,5,FALSE)*FS26),0)</f>
        <v>0</v>
      </c>
      <c r="FV26" s="550">
        <f t="shared" ref="FV26" si="332">FT26+FU26</f>
        <v>1496568</v>
      </c>
      <c r="FW26" s="550">
        <f>$AG26</f>
        <v>9604980</v>
      </c>
      <c r="FX26" s="550">
        <f>IF(GE26="y",FR26*$FX$2,FR26*$FX$3)</f>
        <v>0</v>
      </c>
      <c r="FY26" s="550">
        <f>IF(FM26&lt;0.4,(0.4-FM26)*FP26*FY$3,0)</f>
        <v>0</v>
      </c>
      <c r="FZ26" s="550">
        <f t="shared" ref="FZ26" si="333">IF((FW26-(FX26+FY26))&gt;0,FW26-(FX26+FY26),0)</f>
        <v>9604980</v>
      </c>
      <c r="GA26" s="550">
        <f>VLOOKUP($AI26,Funding!$A$1:$G$6,3,FALSE)*$AG26</f>
        <v>0</v>
      </c>
      <c r="GB26" s="550">
        <f t="shared" ref="GB26" si="334">SUM(FV26,FY26,GA26)</f>
        <v>1496568</v>
      </c>
      <c r="GC26" s="550">
        <f t="shared" ref="GC26" si="335">IF((FW26-(FX26+FY26))&lt;0,FW26-(FX26+FY26),0)</f>
        <v>0</v>
      </c>
      <c r="GD26" s="550">
        <f t="shared" ref="GD26" si="336">GB26+GC26</f>
        <v>1496568</v>
      </c>
      <c r="GE26" s="550"/>
      <c r="GF26" s="550">
        <f t="shared" ref="GF26" si="337">IF(GE26="y",FP26*$BF$2,FP26*$BF$3)</f>
        <v>0</v>
      </c>
      <c r="GG26" s="550">
        <f>DU26</f>
        <v>49397040</v>
      </c>
      <c r="GH26" s="550">
        <f>IF(FP26&gt;79,IF(FM26&gt;0,-$BJ$2*GF26,0),0)</f>
        <v>0</v>
      </c>
      <c r="GI26" s="550">
        <f>IF(FP26&gt;79,IF(FM26=0,-$BJ$2*GF26,0),0)</f>
        <v>0</v>
      </c>
      <c r="GJ26" s="550">
        <f>IF(GG26&gt;$DX$3,-$BJ$2*GG26,0)</f>
        <v>-2469852</v>
      </c>
      <c r="GK26" s="550">
        <f t="shared" ref="GK26" si="338">SUM(GH26:GJ26)</f>
        <v>-2469852</v>
      </c>
      <c r="GL26" s="550">
        <f>IF(FP26&gt;79,IF(FM26=1,0,-$BM$2*GF26),0)</f>
        <v>0</v>
      </c>
      <c r="GM26" s="550">
        <f>IF(GG26&gt;$DZ$3,-$BM$2*GG26,0)</f>
        <v>-2469852</v>
      </c>
      <c r="GN26" s="550">
        <f t="shared" ref="GN26" si="339">GL26+GM26</f>
        <v>-2469852</v>
      </c>
      <c r="GO26" s="199"/>
      <c r="GP26" s="275"/>
      <c r="GQ26" s="199">
        <f>IF(ISBLANK(GO26),ROUNDDOWN(AS26,0),ROUNDDOWN(GO26,0))</f>
        <v>0</v>
      </c>
      <c r="GR26" s="34">
        <v>0</v>
      </c>
      <c r="GS26" s="34">
        <f>IF(GR26&gt;0.2,0.35,VLOOKUP(GR26,'Density Bonus'!$A$1:$B$15,2,FALSE))</f>
        <v>0</v>
      </c>
      <c r="GT26" s="235">
        <f>IF($I26/$AK$3&gt;((1+GS26)*GQ26),(1+GS26)*GQ26,IF(GQ26&gt;($I26/$AK$3),GQ26,($I26/$AK$3)))</f>
        <v>0</v>
      </c>
      <c r="GU26" s="235">
        <f t="shared" ref="GU26" si="340">IF(GS26&gt;0,ROUNDUP(GT26,0),ROUNDDOWN(GT26,0))</f>
        <v>0</v>
      </c>
      <c r="GV26" s="347"/>
      <c r="GW26" s="31">
        <f>IF(ISBLANK($AT26),GR26*GU26,$AT26)</f>
        <v>0</v>
      </c>
      <c r="GX26" s="31">
        <f t="shared" ref="GX26" si="341">GU26-GW26</f>
        <v>0</v>
      </c>
      <c r="GY26" s="196">
        <f>IF($P26="Yes",$AZ26,IF($E26="Under Agreement",$AZ26,""))</f>
        <v>1496568</v>
      </c>
      <c r="GZ26" s="238">
        <f>IF(GR26&lt;1,$AG26+($AZ26-GY26),0)</f>
        <v>9604980</v>
      </c>
      <c r="HA26" s="238">
        <f>SUM(HK26:HM26)</f>
        <v>-2469852</v>
      </c>
      <c r="HB26" s="238">
        <f>HN26+HO26</f>
        <v>-2469852</v>
      </c>
      <c r="HC26" s="238">
        <f t="shared" si="224"/>
        <v>4665276</v>
      </c>
      <c r="HD26" s="238">
        <f>VLOOKUP($AI26,Funding!$A$1:$G$6,7,FALSE)*HC26</f>
        <v>2332638</v>
      </c>
      <c r="HE26" s="238">
        <f t="shared" ref="HE26" si="342">SUM(GY26,HD26)</f>
        <v>3829206</v>
      </c>
      <c r="HF26" s="238">
        <f t="shared" si="226"/>
        <v>0</v>
      </c>
      <c r="HG26" s="238">
        <f t="shared" ref="HG26" si="343">HE26+HF26</f>
        <v>3829206</v>
      </c>
      <c r="HH26" s="238"/>
      <c r="HI26" s="238">
        <f t="shared" ref="HI26" si="344">IF(HH26="y",GU26*$BF$2,GU26*$BF$3)</f>
        <v>0</v>
      </c>
      <c r="HJ26" s="238">
        <f>$BG26</f>
        <v>49397040</v>
      </c>
      <c r="HK26" s="238">
        <f>IF(GU26&gt;79,IF(GR26&gt;0,-$BJ$2*HI26,0),0)</f>
        <v>0</v>
      </c>
      <c r="HL26" s="238">
        <f>IF(GU26&gt;79,IF(GR26=0,-$BJ$2*HI26,0),0)</f>
        <v>0</v>
      </c>
      <c r="HM26" s="238">
        <f>IF(HJ26&gt;$HM$3,-$BJ$2*HJ26,0)</f>
        <v>-2469852</v>
      </c>
      <c r="HN26" s="238">
        <f>IF(GU26&gt;79,-$BM$2*HI26*(1-GR26),0)</f>
        <v>0</v>
      </c>
      <c r="HO26" s="238">
        <f>IF(HJ26&gt;$HO$3,-$BM$2*HJ26,0)</f>
        <v>-2469852</v>
      </c>
      <c r="HP26" s="397"/>
      <c r="HQ26" s="424"/>
      <c r="HR26" s="426">
        <f>AH26</f>
        <v>9604980</v>
      </c>
      <c r="HS26" s="425">
        <f t="shared" si="278"/>
        <v>0</v>
      </c>
      <c r="HT26" s="425">
        <f t="shared" si="278"/>
        <v>0</v>
      </c>
      <c r="HU26" s="429">
        <f>J26</f>
        <v>0</v>
      </c>
      <c r="HV26" s="429">
        <f>K26</f>
        <v>0</v>
      </c>
      <c r="HW26" s="429">
        <f t="shared" si="279"/>
        <v>0</v>
      </c>
      <c r="HX26" s="429">
        <f t="shared" si="279"/>
        <v>274428</v>
      </c>
      <c r="HY26" s="429">
        <f t="shared" si="279"/>
        <v>0</v>
      </c>
      <c r="HZ26" s="426">
        <f>IF(BE26="y",$BF$2,$BF$3)</f>
        <v>328000</v>
      </c>
      <c r="IA26" s="426"/>
      <c r="IB26" s="426"/>
      <c r="IC26" s="425"/>
      <c r="ID26" s="426">
        <v>180</v>
      </c>
      <c r="IE26" s="426"/>
      <c r="IF26" s="427">
        <f>(($HR26+((HS26+HT26)*HZ26)+(HU26*IA26)+(HV26*IB26)+(HW26*IC26)+(HX26*ID26))*0.01*0.29)</f>
        <v>171105.85800000001</v>
      </c>
      <c r="IG26" s="428">
        <f>((1.17*IF26/0.29)*0.39)-IF26</f>
        <v>98120.359260000056</v>
      </c>
      <c r="IH26" s="428">
        <f t="shared" ref="IH26" si="345">HV26*400*0.01</f>
        <v>0</v>
      </c>
      <c r="II26" s="428">
        <f>(HT26*(IF(HQ26="Downtown",$HZ$1,$HZ$2))*12*0.01395)+(HU26*(IF(HQ26="Downtown",$IA$1,$IA$2))*12*0.01395)+(HV26*(IF(HQ26="Downtown",$IB$1,$IB$2))*12*0.01395)+(HW26*(IF(HQ26="Downtown",$IC$1,$IC$2))*12*0.0018)+(HX26*(IF(HQ26="Downtown",$ID$1,$ID$2))*12*0.01395)</f>
        <v>45939.247200000005</v>
      </c>
      <c r="IJ26" s="428">
        <f t="shared" ref="IJ26" si="346">HW26*$IC$1*12*0.14</f>
        <v>0</v>
      </c>
      <c r="IK26" s="428">
        <f>SUM(IF26:IJ26)</f>
        <v>315165.46446000005</v>
      </c>
      <c r="IL26" s="429">
        <f t="shared" ref="IL26" si="347">(HU26/300)+(HV26/500)+(HW26/1.33)+(HX26/1000)</f>
        <v>274.428</v>
      </c>
      <c r="IM26" s="427">
        <f>Sites!AG26</f>
        <v>9604980</v>
      </c>
      <c r="IN26" s="428">
        <f>0.015*IM26</f>
        <v>144074.69999999998</v>
      </c>
      <c r="IO26" s="429">
        <f t="shared" ref="IO26" si="348">(((HS26+HT26)*HZ26)+(HU26*IA26)+(HV26*IB26)+(HW26*IC26)+(HX26*ID26))/$IO$1</f>
        <v>246.98519999999999</v>
      </c>
      <c r="IP26" s="426">
        <f>SUM(IT26:JW26)</f>
        <v>11716402.405810785</v>
      </c>
      <c r="IQ26" s="426">
        <f>NPV(5%,IT26:JW26)</f>
        <v>6140091.0492899241</v>
      </c>
      <c r="IR26" s="430">
        <v>2022</v>
      </c>
      <c r="IS26" s="431"/>
      <c r="IT26" s="431"/>
      <c r="IU26" s="431"/>
      <c r="IV26" s="431"/>
      <c r="IW26" s="428"/>
      <c r="IX26" s="428">
        <f>IX$4*$IK26</f>
        <v>347968.1391418979</v>
      </c>
      <c r="IY26" s="428">
        <f>IY$4*$IK26</f>
        <v>354927.5019247359</v>
      </c>
      <c r="IZ26" s="428">
        <f t="shared" si="294"/>
        <v>362026.05196323054</v>
      </c>
      <c r="JA26" s="428">
        <f t="shared" si="294"/>
        <v>369266.57300249516</v>
      </c>
      <c r="JB26" s="428">
        <f t="shared" si="294"/>
        <v>376651.90446254506</v>
      </c>
      <c r="JC26" s="428">
        <f t="shared" si="294"/>
        <v>384184.94255179598</v>
      </c>
      <c r="JD26" s="428">
        <f t="shared" si="294"/>
        <v>391868.64140283182</v>
      </c>
      <c r="JE26" s="428">
        <f t="shared" si="294"/>
        <v>399706.01423088851</v>
      </c>
      <c r="JF26" s="428">
        <f t="shared" si="294"/>
        <v>407700.13451550627</v>
      </c>
      <c r="JG26" s="428">
        <f t="shared" si="294"/>
        <v>415854.13720581646</v>
      </c>
      <c r="JH26" s="428">
        <f t="shared" si="294"/>
        <v>424171.21994993265</v>
      </c>
      <c r="JI26" s="428">
        <f t="shared" si="294"/>
        <v>432654.64434893138</v>
      </c>
      <c r="JJ26" s="428">
        <f t="shared" si="295"/>
        <v>441307.73723591008</v>
      </c>
      <c r="JK26" s="428">
        <f t="shared" si="295"/>
        <v>450133.89198062819</v>
      </c>
      <c r="JL26" s="428">
        <f t="shared" si="295"/>
        <v>459136.56982024078</v>
      </c>
      <c r="JM26" s="428">
        <f t="shared" si="295"/>
        <v>468319.30121664563</v>
      </c>
      <c r="JN26" s="428">
        <f t="shared" si="295"/>
        <v>477685.68724097847</v>
      </c>
      <c r="JO26" s="428">
        <f t="shared" si="295"/>
        <v>487239.4009857981</v>
      </c>
      <c r="JP26" s="428">
        <f t="shared" si="295"/>
        <v>496984.18900551397</v>
      </c>
      <c r="JQ26" s="428">
        <f t="shared" si="295"/>
        <v>506923.87278562429</v>
      </c>
      <c r="JR26" s="428">
        <f t="shared" si="295"/>
        <v>517062.35024133674</v>
      </c>
      <c r="JS26" s="428">
        <f t="shared" si="295"/>
        <v>527403.59724616352</v>
      </c>
      <c r="JT26" s="428">
        <f t="shared" si="295"/>
        <v>537951.66919108666</v>
      </c>
      <c r="JU26" s="428">
        <f t="shared" si="295"/>
        <v>548710.70257490862</v>
      </c>
      <c r="JV26" s="428">
        <f t="shared" si="295"/>
        <v>559684.9166264066</v>
      </c>
      <c r="JW26" s="428">
        <f t="shared" si="295"/>
        <v>570878.61495893484</v>
      </c>
      <c r="JX26" s="432"/>
      <c r="JY26" s="435">
        <f t="shared" si="282"/>
        <v>0</v>
      </c>
      <c r="JZ26" s="435">
        <f t="shared" si="282"/>
        <v>0</v>
      </c>
      <c r="KA26" s="435">
        <f t="shared" si="283"/>
        <v>0</v>
      </c>
      <c r="KB26" s="435">
        <f t="shared" si="283"/>
        <v>0</v>
      </c>
      <c r="KC26" s="435">
        <f t="shared" si="283"/>
        <v>0</v>
      </c>
      <c r="KD26" s="435">
        <f t="shared" si="283"/>
        <v>274428</v>
      </c>
      <c r="KE26" s="435">
        <f t="shared" si="283"/>
        <v>0</v>
      </c>
      <c r="KF26" s="432">
        <f>IF(CI26="y",$BF$2,$BF$3)</f>
        <v>328000</v>
      </c>
      <c r="KG26" s="445">
        <f t="shared" ref="KG26" si="349">IA26</f>
        <v>0</v>
      </c>
      <c r="KH26" s="445">
        <f t="shared" ref="KH26:KK26" si="350">IB26</f>
        <v>0</v>
      </c>
      <c r="KI26" s="445">
        <f t="shared" si="350"/>
        <v>0</v>
      </c>
      <c r="KJ26" s="445">
        <f t="shared" si="350"/>
        <v>180</v>
      </c>
      <c r="KK26" s="445">
        <f t="shared" si="350"/>
        <v>0</v>
      </c>
      <c r="KL26" s="434">
        <f>(($HR26+(JZ26*KF26)+(KA26*KG26)+(KB26*KH26)+(KC26*KI26)+(KD26*KJ26))*0.01*0.29)</f>
        <v>171105.85800000001</v>
      </c>
      <c r="KM26" s="432">
        <f>((1.17*KL26/0.29)*0.39)-KL26</f>
        <v>98120.359260000056</v>
      </c>
      <c r="KN26" s="432">
        <f>KB26*400*0.01</f>
        <v>0</v>
      </c>
      <c r="KO26" s="432">
        <f>(JZ26*(IF($HQ26="Downtown",$HZ$1,$HZ$2))*12*0.01395)+(KA26*(IF($HQ26="Downtown",$IA$1,$IA$2))*12*0.01395)+(KB26*(IF($HQ26="Downtown",$IB$1,$IB$2))*12*0.01395)+(KC26*(IF($HQ26="Downtown",$IC$1,$IC$2))*12*0.0018)+(KD26*(IF($HQ26="Downtown",$ID$1,$ID$2))*12*0.01395)</f>
        <v>45939.247200000005</v>
      </c>
      <c r="KP26" s="432">
        <f>KC26*$IC$1*12*0.14</f>
        <v>0</v>
      </c>
      <c r="KQ26" s="432">
        <f>SUM(KL26:KP26)</f>
        <v>315165.46446000005</v>
      </c>
      <c r="KR26" s="435">
        <f>(KA26/300)+(KB26/500)+(KC26/1.33)+(KD26/1000)</f>
        <v>274.428</v>
      </c>
      <c r="KS26" s="434">
        <f>CD26</f>
        <v>9604980</v>
      </c>
      <c r="KT26" s="432">
        <f>0.015*KS26</f>
        <v>144074.69999999998</v>
      </c>
      <c r="KU26" s="435">
        <f>(((JY26+JZ26)*KF26)+(KA26*KG26)+(KB26*KH26)+(KC26*KI26)+(KD26*KJ26))/$IO$1</f>
        <v>246.98519999999999</v>
      </c>
      <c r="KV26" s="433">
        <f>SUM(KZ26:MC26)</f>
        <v>11716402.405810785</v>
      </c>
      <c r="KW26" s="433">
        <f>NPV(5%,KZ26:MC26)</f>
        <v>6140091.0492899241</v>
      </c>
      <c r="KX26" s="436">
        <f t="shared" ref="KX26" si="351">IR26</f>
        <v>2022</v>
      </c>
      <c r="KY26" s="411"/>
      <c r="KZ26" s="411"/>
      <c r="LA26" s="411"/>
      <c r="LB26" s="411"/>
      <c r="LC26" s="411"/>
      <c r="LD26" s="446">
        <f>LD$4*$KQ26</f>
        <v>347968.1391418979</v>
      </c>
      <c r="LE26" s="446">
        <f>LE$4*$KQ26</f>
        <v>354927.5019247359</v>
      </c>
      <c r="LF26" s="446">
        <f t="shared" si="296"/>
        <v>362026.05196323054</v>
      </c>
      <c r="LG26" s="446">
        <f t="shared" si="296"/>
        <v>369266.57300249516</v>
      </c>
      <c r="LH26" s="446">
        <f t="shared" si="296"/>
        <v>376651.90446254506</v>
      </c>
      <c r="LI26" s="446">
        <f t="shared" si="296"/>
        <v>384184.94255179598</v>
      </c>
      <c r="LJ26" s="446">
        <f t="shared" si="296"/>
        <v>391868.64140283182</v>
      </c>
      <c r="LK26" s="446">
        <f t="shared" si="296"/>
        <v>399706.01423088851</v>
      </c>
      <c r="LL26" s="446">
        <f t="shared" si="296"/>
        <v>407700.13451550627</v>
      </c>
      <c r="LM26" s="446">
        <f t="shared" si="296"/>
        <v>415854.13720581646</v>
      </c>
      <c r="LN26" s="446">
        <f t="shared" si="296"/>
        <v>424171.21994993265</v>
      </c>
      <c r="LO26" s="446">
        <f t="shared" si="296"/>
        <v>432654.64434893138</v>
      </c>
      <c r="LP26" s="446">
        <f t="shared" si="297"/>
        <v>441307.73723591008</v>
      </c>
      <c r="LQ26" s="446">
        <f t="shared" si="297"/>
        <v>450133.89198062819</v>
      </c>
      <c r="LR26" s="446">
        <f t="shared" si="297"/>
        <v>459136.56982024078</v>
      </c>
      <c r="LS26" s="446">
        <f t="shared" si="297"/>
        <v>468319.30121664563</v>
      </c>
      <c r="LT26" s="446">
        <f t="shared" si="297"/>
        <v>477685.68724097847</v>
      </c>
      <c r="LU26" s="446">
        <f t="shared" si="297"/>
        <v>487239.4009857981</v>
      </c>
      <c r="LV26" s="446">
        <f t="shared" si="297"/>
        <v>496984.18900551397</v>
      </c>
      <c r="LW26" s="446">
        <f t="shared" si="297"/>
        <v>506923.87278562429</v>
      </c>
      <c r="LX26" s="446">
        <f t="shared" si="297"/>
        <v>517062.35024133674</v>
      </c>
      <c r="LY26" s="446">
        <f t="shared" si="297"/>
        <v>527403.59724616352</v>
      </c>
      <c r="LZ26" s="446">
        <f t="shared" si="297"/>
        <v>537951.66919108666</v>
      </c>
      <c r="MA26" s="446">
        <f t="shared" si="297"/>
        <v>548710.70257490862</v>
      </c>
      <c r="MB26" s="446">
        <f t="shared" si="297"/>
        <v>559684.9166264066</v>
      </c>
      <c r="MC26" s="446">
        <f t="shared" si="297"/>
        <v>570878.61495893484</v>
      </c>
      <c r="MD26" s="496"/>
      <c r="ME26" s="497">
        <f t="shared" si="287"/>
        <v>0</v>
      </c>
      <c r="MF26" s="497">
        <f t="shared" si="287"/>
        <v>0</v>
      </c>
      <c r="MG26" s="497">
        <f t="shared" si="287"/>
        <v>0</v>
      </c>
      <c r="MH26" s="497">
        <f t="shared" si="287"/>
        <v>274428</v>
      </c>
      <c r="MI26" s="497">
        <f t="shared" si="287"/>
        <v>0</v>
      </c>
      <c r="MJ26" s="498">
        <f t="shared" si="288"/>
        <v>0</v>
      </c>
      <c r="MK26" s="498">
        <f t="shared" si="288"/>
        <v>0</v>
      </c>
      <c r="ML26" s="498">
        <f t="shared" si="288"/>
        <v>0</v>
      </c>
      <c r="MM26" s="498">
        <f t="shared" si="288"/>
        <v>180</v>
      </c>
      <c r="MN26" s="498">
        <f t="shared" si="288"/>
        <v>0</v>
      </c>
      <c r="MO26" s="454"/>
      <c r="MP26" s="448">
        <f t="shared" si="289"/>
        <v>0</v>
      </c>
      <c r="MQ26" s="448">
        <f t="shared" si="289"/>
        <v>0</v>
      </c>
      <c r="MR26" s="448">
        <f t="shared" si="290"/>
        <v>0</v>
      </c>
      <c r="MS26" s="448">
        <f t="shared" si="290"/>
        <v>0</v>
      </c>
      <c r="MT26" s="448">
        <f t="shared" si="290"/>
        <v>0</v>
      </c>
      <c r="MU26" s="448">
        <f t="shared" si="290"/>
        <v>274428</v>
      </c>
      <c r="MV26" s="448">
        <f t="shared" si="290"/>
        <v>0</v>
      </c>
      <c r="MW26" s="450">
        <f>IF(HH26="y",$BF$2,$BF$3)</f>
        <v>328000</v>
      </c>
      <c r="MX26" s="450">
        <f t="shared" si="291"/>
        <v>0</v>
      </c>
      <c r="MY26" s="450">
        <f t="shared" si="291"/>
        <v>0</v>
      </c>
      <c r="MZ26" s="450">
        <f t="shared" si="291"/>
        <v>0</v>
      </c>
      <c r="NA26" s="450">
        <f t="shared" si="291"/>
        <v>180</v>
      </c>
      <c r="NB26" s="450">
        <f t="shared" si="291"/>
        <v>0</v>
      </c>
      <c r="NC26" s="451">
        <f>IF($P26="Yes",$IF26,IF($E26="Under Agreement",$IF26,0))</f>
        <v>171105.85800000001</v>
      </c>
      <c r="ND26" s="449">
        <f>((1.17*NC26/0.29)*0.39)-NC26</f>
        <v>98120.359260000056</v>
      </c>
      <c r="NE26" s="449">
        <f>MS26*400*0.01</f>
        <v>0</v>
      </c>
      <c r="NF26" s="449">
        <f>(MQ26*(IF($HQ26="Downtown",$HZ$1,$HZ$2))*12*0.01395)+(MR26*(IF($HQ26="Downtown",$IA$1,$IA$2))*12*0.01395)+(MS26*(IF($HQ26="Downtown",$IB$1,$IB$2))*12*0.01395)+(MT26*(IF($HQ26="Downtown",$IC$1,$IC$2))*12*0.0018)+(MU26*(IF($HQ26="Downtown",$ID$1,$ID$2))*12*0.01395)</f>
        <v>45939.247200000005</v>
      </c>
      <c r="NG26" s="449">
        <f>MT26*$IC$1*12*0.14</f>
        <v>0</v>
      </c>
      <c r="NH26" s="449">
        <f>SUM(NC26:NG26)</f>
        <v>315165.46446000005</v>
      </c>
      <c r="NI26" s="448">
        <f>(MR26/300)+(MS26/500)+(MT26/1.33)+(MU26/1000)</f>
        <v>274.428</v>
      </c>
      <c r="NJ26" s="451">
        <f>GZ26</f>
        <v>9604980</v>
      </c>
      <c r="NK26" s="449">
        <f>0.015*NJ26</f>
        <v>144074.69999999998</v>
      </c>
      <c r="NL26" s="448">
        <f>(((MP26+MQ26)*MW26)+(MR26*MX26)+(MS26*MY26)+(MT26*MZ26)+(MU26*NA26))/$IO$1</f>
        <v>246.98519999999999</v>
      </c>
      <c r="NM26" s="452">
        <f>SUM(NQ26:OT26)</f>
        <v>11716402.405810785</v>
      </c>
      <c r="NN26" s="452">
        <f>NPV(5%,NQ26:OT26)</f>
        <v>6140091.0492899241</v>
      </c>
      <c r="NO26" s="453">
        <f>KX26</f>
        <v>2022</v>
      </c>
      <c r="NP26" s="423"/>
      <c r="NQ26" s="423"/>
      <c r="NR26" s="423"/>
      <c r="NS26" s="423"/>
      <c r="NT26" s="423"/>
      <c r="NU26" s="454">
        <f>NU$4*$NH26</f>
        <v>347968.1391418979</v>
      </c>
      <c r="NV26" s="454">
        <f>NV$4*$NH26</f>
        <v>354927.5019247359</v>
      </c>
      <c r="NW26" s="454">
        <f t="shared" si="298"/>
        <v>362026.05196323054</v>
      </c>
      <c r="NX26" s="454">
        <f t="shared" si="298"/>
        <v>369266.57300249516</v>
      </c>
      <c r="NY26" s="454">
        <f t="shared" si="298"/>
        <v>376651.90446254506</v>
      </c>
      <c r="NZ26" s="454">
        <f t="shared" si="298"/>
        <v>384184.94255179598</v>
      </c>
      <c r="OA26" s="454">
        <f t="shared" si="298"/>
        <v>391868.64140283182</v>
      </c>
      <c r="OB26" s="454">
        <f t="shared" si="298"/>
        <v>399706.01423088851</v>
      </c>
      <c r="OC26" s="454">
        <f t="shared" si="298"/>
        <v>407700.13451550627</v>
      </c>
      <c r="OD26" s="454">
        <f t="shared" si="298"/>
        <v>415854.13720581646</v>
      </c>
      <c r="OE26" s="454">
        <f t="shared" si="298"/>
        <v>424171.21994993265</v>
      </c>
      <c r="OF26" s="454">
        <f t="shared" si="298"/>
        <v>432654.64434893138</v>
      </c>
      <c r="OG26" s="454">
        <f t="shared" si="299"/>
        <v>441307.73723591008</v>
      </c>
      <c r="OH26" s="454">
        <f t="shared" si="299"/>
        <v>450133.89198062819</v>
      </c>
      <c r="OI26" s="454">
        <f t="shared" si="299"/>
        <v>459136.56982024078</v>
      </c>
      <c r="OJ26" s="454">
        <f t="shared" si="299"/>
        <v>468319.30121664563</v>
      </c>
      <c r="OK26" s="454">
        <f t="shared" si="299"/>
        <v>477685.68724097847</v>
      </c>
      <c r="OL26" s="454">
        <f t="shared" si="299"/>
        <v>487239.4009857981</v>
      </c>
      <c r="OM26" s="454">
        <f t="shared" si="299"/>
        <v>496984.18900551397</v>
      </c>
      <c r="ON26" s="454">
        <f t="shared" si="299"/>
        <v>506923.87278562429</v>
      </c>
      <c r="OO26" s="454">
        <f t="shared" si="299"/>
        <v>517062.35024133674</v>
      </c>
      <c r="OP26" s="454">
        <f t="shared" si="299"/>
        <v>527403.59724616352</v>
      </c>
      <c r="OQ26" s="454">
        <f t="shared" si="299"/>
        <v>537951.66919108666</v>
      </c>
      <c r="OR26" s="454">
        <f t="shared" si="299"/>
        <v>548710.70257490862</v>
      </c>
      <c r="OS26" s="454">
        <f t="shared" si="299"/>
        <v>559684.9166264066</v>
      </c>
      <c r="OT26" s="454">
        <f t="shared" si="299"/>
        <v>570878.61495893484</v>
      </c>
    </row>
    <row r="27" spans="1:410" customFormat="1">
      <c r="A27" s="279"/>
      <c r="B27" s="281" t="s">
        <v>628</v>
      </c>
      <c r="C27" s="437"/>
      <c r="D27" s="437"/>
      <c r="E27" s="437"/>
      <c r="F27" s="437"/>
      <c r="G27" s="437"/>
      <c r="H27" s="437"/>
      <c r="I27" s="282">
        <f>SUBTOTAL(9,I22:I26)</f>
        <v>419115</v>
      </c>
      <c r="J27" s="282">
        <f>SUBTOTAL(9,J22:J26)</f>
        <v>1145913</v>
      </c>
      <c r="K27" s="282"/>
      <c r="L27" s="282"/>
      <c r="M27" s="282"/>
      <c r="N27" s="282"/>
      <c r="O27" s="282">
        <f>SUBTOTAL(9,O22:O26)</f>
        <v>1440341</v>
      </c>
      <c r="P27" s="283"/>
      <c r="Q27" s="283"/>
      <c r="R27" s="283">
        <f>SUM(R22:R26)</f>
        <v>898.60675213675211</v>
      </c>
      <c r="S27" s="456"/>
      <c r="T27" s="283">
        <f>SUM(T22:T26)</f>
        <v>2207691</v>
      </c>
      <c r="U27" s="283"/>
      <c r="V27" s="284"/>
      <c r="W27" s="285"/>
      <c r="X27" s="284"/>
      <c r="Y27" s="284"/>
      <c r="Z27" s="284"/>
      <c r="AA27" s="286"/>
      <c r="AB27" s="286"/>
      <c r="AC27" s="286"/>
      <c r="AD27" s="286"/>
      <c r="AE27" s="287"/>
      <c r="AF27" s="281"/>
      <c r="AG27" s="287">
        <f>SUBTOTAL(9,AG22:AG26)</f>
        <v>39026280</v>
      </c>
      <c r="AH27" s="287">
        <f>SUBTOTAL(9,AH22:AH26)</f>
        <v>40476280</v>
      </c>
      <c r="AI27" s="287"/>
      <c r="AJ27" s="288"/>
      <c r="AK27" s="288"/>
      <c r="AL27" s="289">
        <f>SUBTOTAL(9,AL22:AL26)</f>
        <v>898.60675213675211</v>
      </c>
      <c r="AM27" s="289">
        <f>SUBTOTAL(9,AM22:AM26)</f>
        <v>239.75341880341881</v>
      </c>
      <c r="AN27" s="288"/>
      <c r="AO27" s="287">
        <f>SUBTOTAL(9,AO22:AO26)</f>
        <v>0</v>
      </c>
      <c r="AP27" s="287">
        <f>SUBTOTAL(9,AP22:AP26)</f>
        <v>39026280</v>
      </c>
      <c r="AQ27" s="352"/>
      <c r="AR27" s="290"/>
      <c r="AS27" s="280">
        <f>SUBTOTAL(9,AS22:AS26)</f>
        <v>632</v>
      </c>
      <c r="AT27" s="280">
        <f>SUBTOTAL(9,AT22:AT26)</f>
        <v>0</v>
      </c>
      <c r="AU27" s="280">
        <f>SUBTOTAL(9,AU22:AU26)</f>
        <v>632</v>
      </c>
      <c r="AV27" s="287"/>
      <c r="AW27" s="287"/>
      <c r="AX27" s="293"/>
      <c r="AY27" s="293"/>
      <c r="AZ27" s="287">
        <f>SUBTOTAL(9,AZ22:AZ26)</f>
        <v>15400568</v>
      </c>
      <c r="BA27" s="287">
        <f>SUBTOTAL(9,BA22:BA26)</f>
        <v>15400568</v>
      </c>
      <c r="BB27" s="287">
        <f>SUBTOTAL(9,BB22:BB26)</f>
        <v>54426848</v>
      </c>
      <c r="BC27" s="280">
        <f>SUBTOTAL(9,BC22:BC26)</f>
        <v>123.204544</v>
      </c>
      <c r="BD27" s="280">
        <f>SUBTOTAL(9,BD22:BD26)</f>
        <v>435.414784</v>
      </c>
      <c r="BE27" s="293"/>
      <c r="BF27" s="287">
        <f t="shared" ref="BF27:BM27" si="352">SUBTOTAL(9,BF22:BF26)</f>
        <v>265296000</v>
      </c>
      <c r="BG27" s="287">
        <f t="shared" si="352"/>
        <v>415765040</v>
      </c>
      <c r="BH27" s="287">
        <f t="shared" si="352"/>
        <v>-11100000</v>
      </c>
      <c r="BI27" s="287">
        <f t="shared" si="352"/>
        <v>-20518252</v>
      </c>
      <c r="BJ27" s="287">
        <f t="shared" si="352"/>
        <v>-31618252</v>
      </c>
      <c r="BK27" s="287">
        <f t="shared" si="352"/>
        <v>-11100000</v>
      </c>
      <c r="BL27" s="287">
        <f t="shared" si="352"/>
        <v>-20518252</v>
      </c>
      <c r="BM27" s="287">
        <f t="shared" si="352"/>
        <v>-31618252</v>
      </c>
      <c r="BN27" s="289"/>
      <c r="BO27" s="292">
        <f>SUBTOTAL(9,BO22:BO26)</f>
        <v>0</v>
      </c>
      <c r="BP27" s="289">
        <f>SUM(BP22:BP26)</f>
        <v>0</v>
      </c>
      <c r="BQ27" s="291"/>
      <c r="BR27" s="291"/>
      <c r="BS27" s="292">
        <f>SUBTOTAL(9,BS22:BS26)</f>
        <v>0</v>
      </c>
      <c r="BT27" s="292">
        <f>SUBTOTAL(9,BT22:BT26)</f>
        <v>0</v>
      </c>
      <c r="BU27" s="350"/>
      <c r="BV27" s="293">
        <f t="shared" ref="BV27:CF27" si="353">SUBTOTAL(9,BV22:BV26)</f>
        <v>0</v>
      </c>
      <c r="BW27" s="293">
        <f t="shared" si="353"/>
        <v>0</v>
      </c>
      <c r="BX27" s="287">
        <f t="shared" si="353"/>
        <v>7802046</v>
      </c>
      <c r="BY27" s="287">
        <f t="shared" si="353"/>
        <v>0</v>
      </c>
      <c r="BZ27" s="287">
        <f t="shared" si="353"/>
        <v>7802046</v>
      </c>
      <c r="CA27" s="287">
        <f t="shared" si="353"/>
        <v>39026280</v>
      </c>
      <c r="CB27" s="287">
        <f t="shared" si="353"/>
        <v>0</v>
      </c>
      <c r="CC27" s="287">
        <f t="shared" si="353"/>
        <v>0</v>
      </c>
      <c r="CD27" s="287">
        <f t="shared" si="353"/>
        <v>39026280</v>
      </c>
      <c r="CE27" s="287">
        <f t="shared" si="353"/>
        <v>15610512</v>
      </c>
      <c r="CF27" s="287">
        <f t="shared" si="353"/>
        <v>23412558</v>
      </c>
      <c r="CG27" s="287"/>
      <c r="CH27" s="287">
        <f>SUBTOTAL(9,CH22:CH26)</f>
        <v>23412558</v>
      </c>
      <c r="CI27" s="287"/>
      <c r="CJ27" s="287">
        <f t="shared" ref="CJ27:CR27" si="354">SUBTOTAL(9,CJ22:CJ26)</f>
        <v>0</v>
      </c>
      <c r="CK27" s="287">
        <f t="shared" si="354"/>
        <v>481508150</v>
      </c>
      <c r="CL27" s="287">
        <f t="shared" si="354"/>
        <v>0</v>
      </c>
      <c r="CM27" s="287">
        <f t="shared" si="354"/>
        <v>0</v>
      </c>
      <c r="CN27" s="287">
        <f t="shared" si="354"/>
        <v>-22548652</v>
      </c>
      <c r="CO27" s="287">
        <f t="shared" si="354"/>
        <v>-20518252</v>
      </c>
      <c r="CP27" s="287">
        <f t="shared" si="354"/>
        <v>0</v>
      </c>
      <c r="CQ27" s="287">
        <f t="shared" si="354"/>
        <v>-20518252</v>
      </c>
      <c r="CR27" s="287">
        <f t="shared" si="354"/>
        <v>-20518252</v>
      </c>
      <c r="CS27" s="289"/>
      <c r="CT27" s="290"/>
      <c r="CU27" s="289">
        <f>SUBTOTAL(9,CU22:CU26)</f>
        <v>232</v>
      </c>
      <c r="CV27" s="291"/>
      <c r="CW27" s="291"/>
      <c r="CX27" s="292">
        <f>SUBTOTAL(9,CX22:CX26)</f>
        <v>233.67111111111112</v>
      </c>
      <c r="CY27" s="292">
        <f>SUBTOTAL(9,CY22:CY26)</f>
        <v>235</v>
      </c>
      <c r="CZ27" s="348"/>
      <c r="DA27" s="293">
        <f t="shared" ref="DA27:DH27" si="355">SUBTOTAL(9,DA22:DA26)</f>
        <v>35</v>
      </c>
      <c r="DB27" s="293">
        <f t="shared" si="355"/>
        <v>200</v>
      </c>
      <c r="DC27" s="287">
        <f t="shared" si="355"/>
        <v>1496568</v>
      </c>
      <c r="DD27" s="287">
        <f t="shared" si="355"/>
        <v>4400000</v>
      </c>
      <c r="DE27" s="287">
        <f t="shared" si="355"/>
        <v>5896568</v>
      </c>
      <c r="DF27" s="287">
        <f t="shared" si="355"/>
        <v>43426280</v>
      </c>
      <c r="DG27" s="287">
        <f t="shared" si="355"/>
        <v>7859823.9999999981</v>
      </c>
      <c r="DH27" s="287">
        <f t="shared" si="355"/>
        <v>5977930</v>
      </c>
      <c r="DI27" s="287"/>
      <c r="DJ27" s="287">
        <f t="shared" ref="DJ27:DR27" si="356">SUBTOTAL(9,DJ22:DJ26)</f>
        <v>5977930</v>
      </c>
      <c r="DK27" s="287">
        <f t="shared" si="356"/>
        <v>29588526</v>
      </c>
      <c r="DL27" s="287">
        <f t="shared" si="356"/>
        <v>-4126252</v>
      </c>
      <c r="DM27" s="287">
        <f t="shared" si="356"/>
        <v>-4126252</v>
      </c>
      <c r="DN27" s="287">
        <f t="shared" si="356"/>
        <v>21336022</v>
      </c>
      <c r="DO27" s="287">
        <f t="shared" si="356"/>
        <v>21336022</v>
      </c>
      <c r="DP27" s="287">
        <f t="shared" si="356"/>
        <v>28810520</v>
      </c>
      <c r="DQ27" s="287">
        <f t="shared" si="356"/>
        <v>0</v>
      </c>
      <c r="DR27" s="287">
        <f t="shared" si="356"/>
        <v>28810520</v>
      </c>
      <c r="DS27" s="287"/>
      <c r="DT27" s="287">
        <f t="shared" ref="DT27:DZ27" si="357">SUBTOTAL(9,DT22:DT26)</f>
        <v>77080000</v>
      </c>
      <c r="DU27" s="287">
        <f t="shared" si="357"/>
        <v>54797040</v>
      </c>
      <c r="DV27" s="287">
        <f t="shared" si="357"/>
        <v>-1656400</v>
      </c>
      <c r="DW27" s="287">
        <f t="shared" si="357"/>
        <v>0</v>
      </c>
      <c r="DX27" s="287">
        <f t="shared" si="357"/>
        <v>-2469852</v>
      </c>
      <c r="DY27" s="287">
        <f t="shared" si="357"/>
        <v>-1656400</v>
      </c>
      <c r="DZ27" s="287">
        <f t="shared" si="357"/>
        <v>-2469852</v>
      </c>
      <c r="EA27" s="289"/>
      <c r="EB27" s="290"/>
      <c r="EC27" s="289">
        <f>SUBTOTAL(9,EC22:EC26)</f>
        <v>232</v>
      </c>
      <c r="ED27" s="291"/>
      <c r="EE27" s="291"/>
      <c r="EF27" s="292">
        <f>SUBTOTAL(9,EF22:EF26)</f>
        <v>233.67111111111112</v>
      </c>
      <c r="EG27" s="292">
        <f>SUBTOTAL(9,EG22:EG26)</f>
        <v>235</v>
      </c>
      <c r="EH27" s="348"/>
      <c r="EI27" s="293">
        <f t="shared" ref="EI27:EP27" si="358">SUBTOTAL(9,EI22:EI26)</f>
        <v>35</v>
      </c>
      <c r="EJ27" s="293">
        <f t="shared" si="358"/>
        <v>200</v>
      </c>
      <c r="EK27" s="287">
        <f t="shared" si="358"/>
        <v>1496568</v>
      </c>
      <c r="EL27" s="287">
        <f t="shared" si="358"/>
        <v>4400000</v>
      </c>
      <c r="EM27" s="287">
        <f t="shared" si="358"/>
        <v>5896568</v>
      </c>
      <c r="EN27" s="287">
        <f t="shared" si="358"/>
        <v>43426280</v>
      </c>
      <c r="EO27" s="287">
        <f t="shared" si="358"/>
        <v>7859823.9999999981</v>
      </c>
      <c r="EP27" s="287">
        <f t="shared" si="358"/>
        <v>5977930</v>
      </c>
      <c r="EQ27" s="287"/>
      <c r="ER27" s="287">
        <f t="shared" ref="ER27:EZ27" si="359">SUBTOTAL(9,ER22:ER26)</f>
        <v>5977930</v>
      </c>
      <c r="ES27" s="287">
        <f t="shared" si="359"/>
        <v>29588526</v>
      </c>
      <c r="ET27" s="287">
        <f t="shared" si="359"/>
        <v>-4126252</v>
      </c>
      <c r="EU27" s="287">
        <f t="shared" si="359"/>
        <v>-4126252</v>
      </c>
      <c r="EV27" s="287">
        <f t="shared" si="359"/>
        <v>21336022</v>
      </c>
      <c r="EW27" s="287">
        <f t="shared" si="359"/>
        <v>21336022</v>
      </c>
      <c r="EX27" s="287">
        <f t="shared" si="359"/>
        <v>28810520</v>
      </c>
      <c r="EY27" s="287">
        <f t="shared" si="359"/>
        <v>0</v>
      </c>
      <c r="EZ27" s="287">
        <f t="shared" si="359"/>
        <v>28810520</v>
      </c>
      <c r="FA27" s="287"/>
      <c r="FB27" s="287">
        <f t="shared" ref="FB27:FH27" si="360">SUBTOTAL(9,FB22:FB26)</f>
        <v>77080000</v>
      </c>
      <c r="FC27" s="287">
        <f t="shared" si="360"/>
        <v>54797040</v>
      </c>
      <c r="FD27" s="287">
        <f t="shared" si="360"/>
        <v>-1656400</v>
      </c>
      <c r="FE27" s="287">
        <f t="shared" si="360"/>
        <v>0</v>
      </c>
      <c r="FF27" s="287">
        <f t="shared" si="360"/>
        <v>-2469852</v>
      </c>
      <c r="FG27" s="287">
        <f t="shared" si="360"/>
        <v>-1656400</v>
      </c>
      <c r="FH27" s="287">
        <f t="shared" si="360"/>
        <v>-2469852</v>
      </c>
      <c r="FI27" s="289"/>
      <c r="FJ27" s="290"/>
      <c r="FK27" s="290"/>
      <c r="FL27" s="289">
        <f>SUBTOTAL(9,FL22:FL26)</f>
        <v>232</v>
      </c>
      <c r="FM27" s="291"/>
      <c r="FN27" s="291"/>
      <c r="FO27" s="292">
        <f>SUBTOTAL(9,FO22:FO26)</f>
        <v>233.67111111111112</v>
      </c>
      <c r="FP27" s="292">
        <f>SUBTOTAL(9,FP22:FP26)</f>
        <v>235</v>
      </c>
      <c r="FQ27" s="348"/>
      <c r="FR27" s="293">
        <f t="shared" ref="FR27:GD27" si="361">SUBTOTAL(9,FR22:FR26)</f>
        <v>35</v>
      </c>
      <c r="FS27" s="293">
        <f t="shared" si="361"/>
        <v>200</v>
      </c>
      <c r="FT27" s="287">
        <f t="shared" si="361"/>
        <v>1496568</v>
      </c>
      <c r="FU27" s="287">
        <f t="shared" si="361"/>
        <v>0</v>
      </c>
      <c r="FV27" s="287">
        <f t="shared" si="361"/>
        <v>1496568</v>
      </c>
      <c r="FW27" s="287">
        <f t="shared" si="361"/>
        <v>39026280</v>
      </c>
      <c r="FX27" s="287">
        <f t="shared" si="361"/>
        <v>7859823.9999999981</v>
      </c>
      <c r="FY27" s="287">
        <f t="shared" si="361"/>
        <v>0</v>
      </c>
      <c r="FZ27" s="287">
        <f t="shared" si="361"/>
        <v>31166456</v>
      </c>
      <c r="GA27" s="287">
        <f t="shared" si="361"/>
        <v>0</v>
      </c>
      <c r="GB27" s="287">
        <f t="shared" si="361"/>
        <v>1496568</v>
      </c>
      <c r="GC27" s="287">
        <f t="shared" si="361"/>
        <v>0</v>
      </c>
      <c r="GD27" s="287">
        <f t="shared" si="361"/>
        <v>1496568</v>
      </c>
      <c r="GE27" s="287"/>
      <c r="GF27" s="287">
        <f t="shared" ref="GF27:GN27" si="362">SUBTOTAL(9,GF22:GF26)</f>
        <v>77080000</v>
      </c>
      <c r="GG27" s="287">
        <f t="shared" si="362"/>
        <v>54797040</v>
      </c>
      <c r="GH27" s="287">
        <f t="shared" si="362"/>
        <v>-1656400</v>
      </c>
      <c r="GI27" s="287">
        <f t="shared" si="362"/>
        <v>0</v>
      </c>
      <c r="GJ27" s="287">
        <f t="shared" si="362"/>
        <v>-2469852</v>
      </c>
      <c r="GK27" s="287">
        <f t="shared" si="362"/>
        <v>-4126252</v>
      </c>
      <c r="GL27" s="287">
        <f t="shared" si="362"/>
        <v>-1656400</v>
      </c>
      <c r="GM27" s="287">
        <f t="shared" si="362"/>
        <v>-2469852</v>
      </c>
      <c r="GN27" s="287">
        <f t="shared" si="362"/>
        <v>-4126252</v>
      </c>
      <c r="GO27" s="289"/>
      <c r="GP27" s="290"/>
      <c r="GQ27" s="289">
        <f>SUBTOTAL(9,GQ22:GQ26)</f>
        <v>232</v>
      </c>
      <c r="GR27" s="291"/>
      <c r="GS27" s="291"/>
      <c r="GT27" s="292">
        <f>SUBTOTAL(9,GT22:GT26)</f>
        <v>233.67111111111112</v>
      </c>
      <c r="GU27" s="292">
        <f>SUBTOTAL(9,GU22:GU26)</f>
        <v>235</v>
      </c>
      <c r="GV27" s="348"/>
      <c r="GW27" s="293">
        <f t="shared" ref="GW27:HG27" si="363">SUBTOTAL(9,GW22:GW26)</f>
        <v>235</v>
      </c>
      <c r="GX27" s="293">
        <f t="shared" si="363"/>
        <v>0</v>
      </c>
      <c r="GY27" s="294">
        <f t="shared" si="363"/>
        <v>1496568</v>
      </c>
      <c r="GZ27" s="287">
        <f t="shared" si="363"/>
        <v>10854980</v>
      </c>
      <c r="HA27" s="287">
        <f>SUBTOTAL(9,HA22:HA26)</f>
        <v>-4126252</v>
      </c>
      <c r="HB27" s="287">
        <f>SUBTOTAL(9,HB22:HB26)</f>
        <v>-2469852</v>
      </c>
      <c r="HC27" s="287">
        <f t="shared" ref="HC27" si="364">SUBTOTAL(9,HC22:HC26)</f>
        <v>5915276</v>
      </c>
      <c r="HD27" s="287">
        <f t="shared" si="363"/>
        <v>2957638</v>
      </c>
      <c r="HE27" s="287">
        <f t="shared" si="363"/>
        <v>4454206</v>
      </c>
      <c r="HF27" s="287">
        <f t="shared" si="363"/>
        <v>-25568120</v>
      </c>
      <c r="HG27" s="287">
        <f t="shared" si="363"/>
        <v>-21113914</v>
      </c>
      <c r="HH27" s="353"/>
      <c r="HI27" s="287">
        <f t="shared" ref="HI27:HO27" si="365">SUBTOTAL(9,HI22:HI26)</f>
        <v>77080000</v>
      </c>
      <c r="HJ27" s="287">
        <f t="shared" si="365"/>
        <v>54797040</v>
      </c>
      <c r="HK27" s="287">
        <f t="shared" si="365"/>
        <v>-1656400</v>
      </c>
      <c r="HL27" s="287">
        <f t="shared" si="365"/>
        <v>0</v>
      </c>
      <c r="HM27" s="287">
        <f t="shared" si="365"/>
        <v>-2469852</v>
      </c>
      <c r="HN27" s="287">
        <f t="shared" si="365"/>
        <v>0</v>
      </c>
      <c r="HO27" s="287">
        <f t="shared" si="365"/>
        <v>-2469852</v>
      </c>
    </row>
    <row r="28" spans="1:410" customFormat="1">
      <c r="A28" s="279"/>
      <c r="B28" s="281" t="s">
        <v>341</v>
      </c>
      <c r="C28" s="437"/>
      <c r="D28" s="437"/>
      <c r="E28" s="437"/>
      <c r="F28" s="437"/>
      <c r="G28" s="437"/>
      <c r="H28" s="437"/>
      <c r="I28" s="282">
        <f>SUBTOTAL(9,I5:I27)</f>
        <v>1064066</v>
      </c>
      <c r="J28" s="282"/>
      <c r="K28" s="282"/>
      <c r="L28" s="282"/>
      <c r="M28" s="282"/>
      <c r="N28" s="282"/>
      <c r="O28" s="282">
        <f>SUBTOTAL(9,O5:O27)</f>
        <v>1455341</v>
      </c>
      <c r="P28" s="283"/>
      <c r="Q28" s="283"/>
      <c r="R28" s="456"/>
      <c r="S28" s="456"/>
      <c r="T28" s="456"/>
      <c r="U28" s="283"/>
      <c r="V28" s="284"/>
      <c r="W28" s="285"/>
      <c r="X28" s="284"/>
      <c r="Y28" s="284"/>
      <c r="Z28" s="284"/>
      <c r="AA28" s="286"/>
      <c r="AB28" s="286"/>
      <c r="AC28" s="286"/>
      <c r="AD28" s="286"/>
      <c r="AE28" s="287"/>
      <c r="AF28" s="281"/>
      <c r="AG28" s="287">
        <f>SUBTOTAL(9,AG5:AG27)</f>
        <v>93298165</v>
      </c>
      <c r="AH28" s="287">
        <f>SUBTOTAL(9,AH5:AH27)</f>
        <v>94748165</v>
      </c>
      <c r="AI28" s="287"/>
      <c r="AJ28" s="288"/>
      <c r="AK28" s="288"/>
      <c r="AL28" s="289">
        <f>SUBTOTAL(9,AL5:AL27)</f>
        <v>2145.6507032018949</v>
      </c>
      <c r="AM28" s="289">
        <f>SUBTOTAL(9,AM5:AM27)</f>
        <v>1011.1092890604814</v>
      </c>
      <c r="AN28" s="288"/>
      <c r="AO28" s="287">
        <f>SUBTOTAL(9,AO5:AO27)</f>
        <v>14327875</v>
      </c>
      <c r="AP28" s="287">
        <f>SUBTOTAL(9,AP5:AP27)</f>
        <v>90933040</v>
      </c>
      <c r="AQ28" s="352"/>
      <c r="AR28" s="290"/>
      <c r="AS28" s="280">
        <f>SUBTOTAL(9,AS5:AS27)</f>
        <v>1751</v>
      </c>
      <c r="AT28" s="280">
        <f>SUBTOTAL(9,AT5:AT27)</f>
        <v>0</v>
      </c>
      <c r="AU28" s="280">
        <f>SUBTOTAL(9,AU5:AU27)</f>
        <v>1751</v>
      </c>
      <c r="AV28" s="287"/>
      <c r="AW28" s="287"/>
      <c r="AX28" s="293"/>
      <c r="AY28" s="293"/>
      <c r="AZ28" s="287">
        <f>SUBTOTAL(9,AZ5:AZ27)</f>
        <v>36332568</v>
      </c>
      <c r="BA28" s="287">
        <f>SUBTOTAL(9,BA5:BA27)</f>
        <v>50660443</v>
      </c>
      <c r="BB28" s="287">
        <f>SUBTOTAL(9,BB5:BB27)</f>
        <v>127265608</v>
      </c>
      <c r="BC28" s="280">
        <f>SUBTOTAL(9,BC5:BC27)</f>
        <v>405.28354400000001</v>
      </c>
      <c r="BD28" s="280">
        <f>SUBTOTAL(9,BD5:BD27)</f>
        <v>1018.124864</v>
      </c>
      <c r="BE28" s="293"/>
      <c r="BF28" s="287">
        <f t="shared" ref="BF28:BM28" si="366">SUBTOTAL(9,BF5:BF27)</f>
        <v>689400000</v>
      </c>
      <c r="BG28" s="287">
        <f t="shared" si="366"/>
        <v>421015040</v>
      </c>
      <c r="BH28" s="287">
        <f t="shared" si="366"/>
        <v>-25564800</v>
      </c>
      <c r="BI28" s="287">
        <f t="shared" si="366"/>
        <v>-20518252</v>
      </c>
      <c r="BJ28" s="287">
        <f t="shared" si="366"/>
        <v>-46083052</v>
      </c>
      <c r="BK28" s="287">
        <f t="shared" si="366"/>
        <v>-25564800</v>
      </c>
      <c r="BL28" s="287">
        <f t="shared" si="366"/>
        <v>-20518252</v>
      </c>
      <c r="BM28" s="287">
        <f t="shared" si="366"/>
        <v>-46083052</v>
      </c>
      <c r="BN28" s="289"/>
      <c r="BO28" s="292">
        <f>SUBTOTAL(9,BO5:BO27)</f>
        <v>0</v>
      </c>
      <c r="BP28" s="289">
        <f>SUM(BP5:BP27)</f>
        <v>2238</v>
      </c>
      <c r="BQ28" s="291"/>
      <c r="BR28" s="291"/>
      <c r="BS28" s="292">
        <f>SUBTOTAL(9,BS5:BS27)</f>
        <v>1248.5544444444445</v>
      </c>
      <c r="BT28" s="292">
        <f>SUBTOTAL(9,BT5:BT27)</f>
        <v>1238</v>
      </c>
      <c r="BU28" s="350"/>
      <c r="BV28" s="293">
        <f t="shared" ref="BV28:CH28" si="367">SUBTOTAL(9,BV5:BV27)</f>
        <v>746</v>
      </c>
      <c r="BW28" s="293">
        <f t="shared" si="367"/>
        <v>492</v>
      </c>
      <c r="BX28" s="287">
        <f t="shared" si="367"/>
        <v>7802046</v>
      </c>
      <c r="BY28" s="287">
        <f t="shared" si="367"/>
        <v>10824000</v>
      </c>
      <c r="BZ28" s="287">
        <f t="shared" si="367"/>
        <v>18626046</v>
      </c>
      <c r="CA28" s="287">
        <f t="shared" si="367"/>
        <v>51221705</v>
      </c>
      <c r="CB28" s="287">
        <f t="shared" si="367"/>
        <v>0</v>
      </c>
      <c r="CC28" s="287">
        <f t="shared" si="367"/>
        <v>0</v>
      </c>
      <c r="CD28" s="287">
        <f t="shared" si="367"/>
        <v>51221705</v>
      </c>
      <c r="CE28" s="287">
        <f t="shared" si="367"/>
        <v>25366852</v>
      </c>
      <c r="CF28" s="287">
        <f t="shared" si="367"/>
        <v>43992898</v>
      </c>
      <c r="CG28" s="287">
        <f t="shared" si="367"/>
        <v>-75906992</v>
      </c>
      <c r="CH28" s="287">
        <f t="shared" si="367"/>
        <v>-31914094</v>
      </c>
      <c r="CI28" s="287"/>
      <c r="CJ28" s="287">
        <f t="shared" ref="CJ28:CR28" si="368">SUBTOTAL(9,CJ5:CJ27)</f>
        <v>463136000</v>
      </c>
      <c r="CK28" s="287">
        <f t="shared" si="368"/>
        <v>486758150</v>
      </c>
      <c r="CL28" s="287">
        <f t="shared" si="368"/>
        <v>-6379600</v>
      </c>
      <c r="CM28" s="287">
        <f t="shared" si="368"/>
        <v>-10922400</v>
      </c>
      <c r="CN28" s="287">
        <f t="shared" si="368"/>
        <v>-22548652</v>
      </c>
      <c r="CO28" s="287">
        <f t="shared" si="368"/>
        <v>-37820252</v>
      </c>
      <c r="CP28" s="287">
        <f t="shared" si="368"/>
        <v>-10922400</v>
      </c>
      <c r="CQ28" s="287">
        <f t="shared" si="368"/>
        <v>-20518252</v>
      </c>
      <c r="CR28" s="287">
        <f t="shared" si="368"/>
        <v>-31440652</v>
      </c>
      <c r="CS28" s="289"/>
      <c r="CT28" s="290"/>
      <c r="CU28" s="289">
        <f>SUBTOTAL(9,CU5:CU27)</f>
        <v>957</v>
      </c>
      <c r="CV28" s="291"/>
      <c r="CW28" s="291"/>
      <c r="CX28" s="292">
        <f>SUBTOTAL(9,CX5:CX27)</f>
        <v>1083.2244444444445</v>
      </c>
      <c r="CY28" s="292">
        <f>SUBTOTAL(9,CY5:CY27)</f>
        <v>1077</v>
      </c>
      <c r="CZ28" s="348"/>
      <c r="DA28" s="293">
        <f t="shared" ref="DA28:DH28" si="369">SUBTOTAL(9,DA5:DA27)</f>
        <v>755</v>
      </c>
      <c r="DB28" s="293">
        <f t="shared" si="369"/>
        <v>322</v>
      </c>
      <c r="DC28" s="287">
        <f t="shared" si="369"/>
        <v>1496568</v>
      </c>
      <c r="DD28" s="287">
        <f t="shared" si="369"/>
        <v>6177500</v>
      </c>
      <c r="DE28" s="287">
        <f t="shared" si="369"/>
        <v>7674068</v>
      </c>
      <c r="DF28" s="287">
        <f t="shared" si="369"/>
        <v>53312235</v>
      </c>
      <c r="DG28" s="287">
        <f t="shared" si="369"/>
        <v>83823180.799999982</v>
      </c>
      <c r="DH28" s="287">
        <f t="shared" si="369"/>
        <v>9641002</v>
      </c>
      <c r="DI28" s="287"/>
      <c r="DJ28" s="287">
        <f t="shared" ref="DJ28:DR28" si="370">SUBTOTAL(9,DJ5:DJ27)</f>
        <v>8191869.8000000007</v>
      </c>
      <c r="DK28" s="287">
        <f t="shared" si="370"/>
        <v>32320080.399999999</v>
      </c>
      <c r="DL28" s="287">
        <f t="shared" si="370"/>
        <v>-12129452</v>
      </c>
      <c r="DM28" s="287">
        <f t="shared" si="370"/>
        <v>-4126252</v>
      </c>
      <c r="DN28" s="287">
        <f t="shared" si="370"/>
        <v>24067576.399999999</v>
      </c>
      <c r="DO28" s="287">
        <f t="shared" si="370"/>
        <v>24067576.399999999</v>
      </c>
      <c r="DP28" s="287">
        <f t="shared" si="370"/>
        <v>33756014.200000003</v>
      </c>
      <c r="DQ28" s="287">
        <f t="shared" si="370"/>
        <v>-79026096</v>
      </c>
      <c r="DR28" s="287">
        <f t="shared" si="370"/>
        <v>-45270081.799999982</v>
      </c>
      <c r="DS28" s="287"/>
      <c r="DT28" s="287">
        <f t="shared" ref="DT28:DZ28" si="371">SUBTOTAL(9,DT5:DT27)</f>
        <v>353256000</v>
      </c>
      <c r="DU28" s="287">
        <f t="shared" si="371"/>
        <v>54797040</v>
      </c>
      <c r="DV28" s="287">
        <f t="shared" si="371"/>
        <v>-9659600</v>
      </c>
      <c r="DW28" s="287">
        <f t="shared" si="371"/>
        <v>0</v>
      </c>
      <c r="DX28" s="287">
        <f t="shared" si="371"/>
        <v>-2469852</v>
      </c>
      <c r="DY28" s="287">
        <f t="shared" si="371"/>
        <v>-1656400</v>
      </c>
      <c r="DZ28" s="287">
        <f t="shared" si="371"/>
        <v>-2469852</v>
      </c>
      <c r="EA28" s="289"/>
      <c r="EB28" s="290"/>
      <c r="EC28" s="289">
        <f>SUBTOTAL(9,EC5:EC27)</f>
        <v>957</v>
      </c>
      <c r="ED28" s="291"/>
      <c r="EE28" s="291"/>
      <c r="EF28" s="292">
        <f>SUBTOTAL(9,EF5:EF27)</f>
        <v>1083.2244444444445</v>
      </c>
      <c r="EG28" s="292">
        <f>SUBTOTAL(9,EG5:EG27)</f>
        <v>1077</v>
      </c>
      <c r="EH28" s="348"/>
      <c r="EI28" s="293">
        <f t="shared" ref="EI28:EP28" si="372">SUBTOTAL(9,EI5:EI27)</f>
        <v>647</v>
      </c>
      <c r="EJ28" s="293">
        <f t="shared" si="372"/>
        <v>430</v>
      </c>
      <c r="EK28" s="287">
        <f t="shared" si="372"/>
        <v>1496568</v>
      </c>
      <c r="EL28" s="287">
        <f t="shared" si="372"/>
        <v>7473500</v>
      </c>
      <c r="EM28" s="287">
        <f t="shared" si="372"/>
        <v>8970068</v>
      </c>
      <c r="EN28" s="287">
        <f t="shared" si="372"/>
        <v>57161760</v>
      </c>
      <c r="EO28" s="287">
        <f t="shared" si="372"/>
        <v>75167438.399999991</v>
      </c>
      <c r="EP28" s="287">
        <f t="shared" si="372"/>
        <v>12871628</v>
      </c>
      <c r="EQ28" s="287"/>
      <c r="ER28" s="287">
        <f t="shared" ref="ER28:EZ28" si="373">SUBTOTAL(9,ER5:ER27)</f>
        <v>8191869.8000000007</v>
      </c>
      <c r="ES28" s="287">
        <f t="shared" si="373"/>
        <v>32320080.399999999</v>
      </c>
      <c r="ET28" s="287">
        <f t="shared" si="373"/>
        <v>-12129452</v>
      </c>
      <c r="EU28" s="287">
        <f t="shared" si="373"/>
        <v>-4126252</v>
      </c>
      <c r="EV28" s="287">
        <f t="shared" si="373"/>
        <v>24067576.399999999</v>
      </c>
      <c r="EW28" s="287">
        <f t="shared" si="373"/>
        <v>24067576.399999999</v>
      </c>
      <c r="EX28" s="287">
        <f t="shared" si="373"/>
        <v>33756014.200000003</v>
      </c>
      <c r="EY28" s="287">
        <f t="shared" si="373"/>
        <v>-66520828.600000001</v>
      </c>
      <c r="EZ28" s="287">
        <f t="shared" si="373"/>
        <v>-32764814.399999991</v>
      </c>
      <c r="FA28" s="287"/>
      <c r="FB28" s="287">
        <f t="shared" ref="FB28:FH28" si="374">SUBTOTAL(9,FB5:FB27)</f>
        <v>353256000</v>
      </c>
      <c r="FC28" s="287">
        <f t="shared" si="374"/>
        <v>54797040</v>
      </c>
      <c r="FD28" s="287">
        <f t="shared" si="374"/>
        <v>-9659600</v>
      </c>
      <c r="FE28" s="287">
        <f t="shared" si="374"/>
        <v>0</v>
      </c>
      <c r="FF28" s="287">
        <f t="shared" si="374"/>
        <v>-2469852</v>
      </c>
      <c r="FG28" s="287">
        <f t="shared" si="374"/>
        <v>-1656400</v>
      </c>
      <c r="FH28" s="287">
        <f t="shared" si="374"/>
        <v>-2469852</v>
      </c>
      <c r="FI28" s="289"/>
      <c r="FJ28" s="290"/>
      <c r="FK28" s="290"/>
      <c r="FL28" s="289">
        <f>SUBTOTAL(9,FL5:FL27)</f>
        <v>957</v>
      </c>
      <c r="FM28" s="291"/>
      <c r="FN28" s="291"/>
      <c r="FO28" s="292">
        <f>SUBTOTAL(9,FO5:FO27)</f>
        <v>1059.9244444444444</v>
      </c>
      <c r="FP28" s="292">
        <f>SUBTOTAL(9,FP5:FP27)</f>
        <v>1056</v>
      </c>
      <c r="FQ28" s="348"/>
      <c r="FR28" s="293">
        <f t="shared" ref="FR28:GD28" si="375">SUBTOTAL(9,FR5:FR27)</f>
        <v>156</v>
      </c>
      <c r="FS28" s="293">
        <f t="shared" si="375"/>
        <v>900</v>
      </c>
      <c r="FT28" s="287">
        <f t="shared" si="375"/>
        <v>1496568</v>
      </c>
      <c r="FU28" s="287">
        <f t="shared" si="375"/>
        <v>228000</v>
      </c>
      <c r="FV28" s="287">
        <f t="shared" si="375"/>
        <v>1724568</v>
      </c>
      <c r="FW28" s="287">
        <f t="shared" si="375"/>
        <v>93298165</v>
      </c>
      <c r="FX28" s="287">
        <f t="shared" si="375"/>
        <v>35032358.399999991</v>
      </c>
      <c r="FY28" s="287">
        <f t="shared" si="375"/>
        <v>0</v>
      </c>
      <c r="FZ28" s="287">
        <f t="shared" si="375"/>
        <v>60918352.600000001</v>
      </c>
      <c r="GA28" s="287">
        <f t="shared" si="375"/>
        <v>3116590.2080000015</v>
      </c>
      <c r="GB28" s="287">
        <f t="shared" si="375"/>
        <v>4841158.2080000015</v>
      </c>
      <c r="GC28" s="287">
        <f t="shared" si="375"/>
        <v>-2652545.9999999981</v>
      </c>
      <c r="GD28" s="287">
        <f t="shared" si="375"/>
        <v>2188612.2080000029</v>
      </c>
      <c r="GE28" s="287"/>
      <c r="GF28" s="287">
        <f t="shared" ref="GF28:GN28" si="376">SUBTOTAL(9,GF5:GF27)</f>
        <v>346368000</v>
      </c>
      <c r="GG28" s="287">
        <f t="shared" si="376"/>
        <v>54797040</v>
      </c>
      <c r="GH28" s="287">
        <f t="shared" si="376"/>
        <v>-9397200</v>
      </c>
      <c r="GI28" s="287">
        <f t="shared" si="376"/>
        <v>0</v>
      </c>
      <c r="GJ28" s="287">
        <f t="shared" si="376"/>
        <v>-2469852</v>
      </c>
      <c r="GK28" s="287">
        <f t="shared" si="376"/>
        <v>-11867052</v>
      </c>
      <c r="GL28" s="287">
        <f t="shared" si="376"/>
        <v>-9397200</v>
      </c>
      <c r="GM28" s="287">
        <f t="shared" si="376"/>
        <v>-2469852</v>
      </c>
      <c r="GN28" s="287">
        <f t="shared" si="376"/>
        <v>-11867052</v>
      </c>
      <c r="GO28" s="289"/>
      <c r="GP28" s="290"/>
      <c r="GQ28" s="289">
        <f>SUBTOTAL(9,GQ5:GQ27)</f>
        <v>957</v>
      </c>
      <c r="GR28" s="291"/>
      <c r="GS28" s="291"/>
      <c r="GT28" s="292">
        <f>SUBTOTAL(9,GT5:GT27)</f>
        <v>1088.7744444444443</v>
      </c>
      <c r="GU28" s="292">
        <f>SUBTOTAL(9,GU5:GU27)</f>
        <v>1080</v>
      </c>
      <c r="GV28" s="348"/>
      <c r="GW28" s="293">
        <f t="shared" ref="GW28:HG28" si="377">SUBTOTAL(9,GW5:GW27)</f>
        <v>1080</v>
      </c>
      <c r="GX28" s="293">
        <f t="shared" si="377"/>
        <v>0</v>
      </c>
      <c r="GY28" s="294">
        <f t="shared" si="377"/>
        <v>1496568</v>
      </c>
      <c r="GZ28" s="287">
        <f t="shared" si="377"/>
        <v>10854980</v>
      </c>
      <c r="HA28" s="287">
        <f>SUBTOTAL(9,HA5:HA27)</f>
        <v>-12129452</v>
      </c>
      <c r="HB28" s="287">
        <f>SUBTOTAL(9,HB5:HB27)</f>
        <v>-2469852</v>
      </c>
      <c r="HC28" s="287">
        <f t="shared" ref="HC28" si="378">SUBTOTAL(9,HC5:HC27)</f>
        <v>5915276</v>
      </c>
      <c r="HD28" s="287">
        <f t="shared" si="377"/>
        <v>2957638</v>
      </c>
      <c r="HE28" s="287">
        <f t="shared" si="377"/>
        <v>4454206</v>
      </c>
      <c r="HF28" s="287">
        <f t="shared" si="377"/>
        <v>-119551760</v>
      </c>
      <c r="HG28" s="287">
        <f t="shared" si="377"/>
        <v>-115097554</v>
      </c>
      <c r="HH28" s="353"/>
      <c r="HI28" s="287">
        <f t="shared" ref="HI28:HO28" si="379">SUBTOTAL(9,HI5:HI27)</f>
        <v>354240000</v>
      </c>
      <c r="HJ28" s="287">
        <f t="shared" si="379"/>
        <v>60047040</v>
      </c>
      <c r="HK28" s="287">
        <f t="shared" si="379"/>
        <v>-9659600</v>
      </c>
      <c r="HL28" s="287">
        <f t="shared" si="379"/>
        <v>0</v>
      </c>
      <c r="HM28" s="287">
        <f t="shared" si="379"/>
        <v>-2469852</v>
      </c>
      <c r="HN28" s="287">
        <f t="shared" si="379"/>
        <v>0</v>
      </c>
      <c r="HO28" s="287">
        <f t="shared" si="379"/>
        <v>-2469852</v>
      </c>
    </row>
  </sheetData>
  <sheetProtection algorithmName="SHA-512" hashValue="AEQ040uLOJrzUmf24NGJrT+IAtVF7MA3I+FidxXUrUf+NvCsvXrP7YuWzN2k58AI1kNq/XqJuX+iziXFjmQukA==" saltValue="WxDkV0QmkTyfngS4Ph9FKA==" spinCount="100000" sheet="1" objects="1" scenarios="1"/>
  <customSheetViews>
    <customSheetView guid="{12DF92E2-F0A4-4522-953F-2BCAD962F9B1}" fitToPage="1">
      <pane xSplit="2" ySplit="4" topLeftCell="EX5" activePane="bottomRight" state="frozen"/>
      <selection pane="bottomRight" activeCell="FG5" sqref="FG5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"/>
      <headerFooter>
        <oddFooter>&amp;RPage&amp;Pof&amp;N</oddFooter>
      </headerFooter>
    </customSheetView>
    <customSheetView guid="{CDF0923A-CEB9-47A0-BB71-B372AD18A6C5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2"/>
      <headerFooter>
        <oddFooter>&amp;RPage&amp;Pof&amp;N</oddFooter>
      </headerFooter>
    </customSheetView>
    <customSheetView guid="{1CB7F20C-5BCB-4F31-A665-EF07F93D0225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3"/>
      <headerFooter>
        <oddFooter>&amp;RPage&amp;Pof&amp;N</oddFooter>
      </headerFooter>
    </customSheetView>
    <customSheetView guid="{A3C5269A-712A-445D-A52D-32C4B0B08868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4"/>
      <headerFooter>
        <oddFooter>&amp;RPage&amp;Pof&amp;N</oddFooter>
      </headerFooter>
    </customSheetView>
    <customSheetView guid="{D2801948-3667-42F1-A855-2C3A7F5D75C1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5"/>
      <headerFooter>
        <oddFooter>&amp;RPage&amp;Pof&amp;N</oddFooter>
      </headerFooter>
    </customSheetView>
    <customSheetView guid="{6B8B0E6B-B6D7-44A4-A1E7-F92938C31FF1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6"/>
      <headerFooter>
        <oddFooter>&amp;RPage&amp;Pof&amp;N</oddFooter>
      </headerFooter>
    </customSheetView>
    <customSheetView guid="{E6F23B71-2871-41D0-8B3E-C5A92D17DA9C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7"/>
      <headerFooter>
        <oddFooter>&amp;RPage&amp;Pof&amp;N</oddFooter>
      </headerFooter>
    </customSheetView>
    <customSheetView guid="{105E85B8-9A7A-4110-9634-CB22952476CC}" scale="80" fitToPage="1">
      <pane xSplit="2" ySplit="4" topLeftCell="HI5" activePane="bottomRight" state="frozen"/>
      <selection pane="bottomRight" activeCell="HQ1" sqref="HQ1"/>
      <rowBreaks count="1" manualBreakCount="1">
        <brk id="20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8"/>
      <headerFooter>
        <oddFooter>&amp;RPage&amp;Pof&amp;N</oddFooter>
      </headerFooter>
    </customSheetView>
    <customSheetView guid="{3F467621-6324-4266-A1CB-A00C20E99D00}" scale="80" fitToPage="1" printArea="1" showAutoFilter="1" hiddenRows="1" hiddenColumns="1" view="pageBreakPreview" topLeftCell="B1">
      <pane ySplit="4" topLeftCell="A5" activePane="bottomLeft" state="frozen"/>
      <selection pane="bottomLeft" activeCell="AG1" sqref="AG1:AI1048576"/>
      <rowBreaks count="1" manualBreakCount="1">
        <brk id="20" max="16383" man="1"/>
      </rowBreaks>
      <pageMargins left="0.45" right="0.45" top="0.75" bottom="0.5" header="0.3" footer="0.3"/>
      <printOptions horizontalCentered="1"/>
      <pageSetup paperSize="3" scale="38" orientation="landscape" blackAndWhite="1" r:id="rId9"/>
      <headerFooter>
        <oddHeader>&amp;L&amp;20Key Future Development Sites - Unit Production and Net AHTF Funding Generated/Subsidy Required</oddHeader>
        <oddFooter>&amp;LPrinted &amp;D&amp;R&amp;Z&amp;F</oddFooter>
      </headerFooter>
      <autoFilter ref="A4:HH45"/>
    </customSheetView>
    <customSheetView guid="{FC75C57A-A981-40F1-A712-EAFC64AB1BBD}" scale="80" printArea="1" showAutoFilter="1" hiddenRows="1" hiddenColumns="1" view="pageBreakPreview" topLeftCell="L1">
      <pane ySplit="4" topLeftCell="A14" activePane="bottomLeft" state="frozen"/>
      <selection pane="bottomLeft" activeCell="AZ24" sqref="AZ24"/>
      <colBreaks count="2" manualBreakCount="2">
        <brk id="50" max="26" man="1"/>
        <brk id="97" max="1048575" man="1"/>
      </colBreaks>
      <pageMargins left="0.45" right="0.45" top="0.75" bottom="0.5" header="0.3" footer="0.3"/>
      <printOptions horizontalCentered="1"/>
      <pageSetup paperSize="3" scale="77" fitToWidth="3" orientation="landscape" blackAndWhite="1" r:id="rId10"/>
      <headerFooter>
        <oddHeader>&amp;L&amp;20Key Future Development Sites - Unit Production and Net AHTF Funding Generated/Subsidy Required</oddHeader>
        <oddFooter>&amp;LPrinted &amp;D&amp;R&amp;Z&amp;F</oddFooter>
      </headerFooter>
      <autoFilter ref="A4:FH37"/>
    </customSheetView>
    <customSheetView guid="{5FF6C677-6BD3-4CC5-98C1-BA95F6DE7B70}" scale="75" fitToPage="1" showAutoFilter="1">
      <pane xSplit="2" ySplit="4" topLeftCell="C5" activePane="bottomRight" state="frozen"/>
      <selection pane="bottomRight" activeCell="D1" sqref="D1:D1048576"/>
      <rowBreaks count="1" manualBreakCount="1">
        <brk id="20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1"/>
      <headerFooter>
        <oddFooter>&amp;RPage&amp;Pof&amp;N</oddFooter>
      </headerFooter>
      <autoFilter ref="A4:FC4"/>
    </customSheetView>
    <customSheetView guid="{3D995FFA-456E-4A0A-AF78-CD5180B1C163}" fitToPage="1">
      <pane xSplit="2" ySplit="4" topLeftCell="GF5" activePane="bottomRight" state="frozen"/>
      <selection pane="bottomRight" activeCell="GO7" sqref="GO7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2"/>
      <headerFooter>
        <oddFooter>&amp;RPage&amp;Pof&amp;N</oddFooter>
      </headerFooter>
    </customSheetView>
    <customSheetView guid="{F7AAF2C2-30F8-4A4D-9DCA-2CE431E237EF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3"/>
      <headerFooter>
        <oddFooter>&amp;RPage&amp;Pof&amp;N</oddFooter>
      </headerFooter>
    </customSheetView>
    <customSheetView guid="{CF016ED8-8B91-4622-8F1B-C12FD046BBA3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4"/>
      <headerFooter>
        <oddFooter>&amp;RPage&amp;Pof&amp;N</oddFooter>
      </headerFooter>
    </customSheetView>
    <customSheetView guid="{A948BEAA-C943-439F-A074-9FFD96C20787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5"/>
      <headerFooter>
        <oddFooter>&amp;RPage&amp;Pof&amp;N</oddFooter>
      </headerFooter>
    </customSheetView>
    <customSheetView guid="{F15FCE5B-4793-4E19-BCC1-0B2A44E18C59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6"/>
      <headerFooter>
        <oddFooter>&amp;RPage&amp;Pof&amp;N</oddFooter>
      </headerFooter>
    </customSheetView>
    <customSheetView guid="{C758BCB7-A66F-4816-80B2-6959FA24FF89}" fitToPage="1">
      <pane xSplit="2" ySplit="4" topLeftCell="JS5" activePane="bottomRight" state="frozen"/>
      <selection pane="bottomRight" activeCell="KI22" sqref="KI22:KI26"/>
      <rowBreaks count="1" manualBreakCount="1">
        <brk id="33" max="16383" man="1"/>
      </rowBreaks>
      <pageMargins left="0.45" right="0.45" top="0.75" bottom="0.5" header="0.3" footer="0.3"/>
      <printOptions horizontalCentered="1"/>
      <pageSetup paperSize="17" scale="10" fitToHeight="0" orientation="landscape" horizontalDpi="4294967295" verticalDpi="4294967295" r:id="rId17"/>
      <headerFooter>
        <oddFooter>&amp;RPage&amp;Pof&amp;N</oddFooter>
      </headerFooter>
    </customSheetView>
  </customSheetViews>
  <mergeCells count="6">
    <mergeCell ref="NJ3:NL3"/>
    <mergeCell ref="IF3:IL3"/>
    <mergeCell ref="IM3:IO3"/>
    <mergeCell ref="KL3:KR3"/>
    <mergeCell ref="KS3:KU3"/>
    <mergeCell ref="NC3:NI3"/>
  </mergeCells>
  <conditionalFormatting sqref="CG28 CG19 CH5:CH28">
    <cfRule type="cellIs" dxfId="5" priority="271" operator="lessThanOrEqual">
      <formula>0</formula>
    </cfRule>
    <cfRule type="cellIs" dxfId="4" priority="291" operator="lessThan">
      <formula>$BZ5</formula>
    </cfRule>
  </conditionalFormatting>
  <conditionalFormatting sqref="GD5:GD28 DR5:DR28">
    <cfRule type="cellIs" dxfId="3" priority="257" operator="lessThanOrEqual">
      <formula>0</formula>
    </cfRule>
    <cfRule type="cellIs" dxfId="2" priority="258" operator="lessThan">
      <formula>#REF!</formula>
    </cfRule>
  </conditionalFormatting>
  <conditionalFormatting sqref="EZ5:EZ28">
    <cfRule type="cellIs" dxfId="1" priority="1" operator="lessThanOrEqual">
      <formula>0</formula>
    </cfRule>
    <cfRule type="cellIs" dxfId="0" priority="2" operator="lessThan">
      <formula>#REF!</formula>
    </cfRule>
  </conditionalFormatting>
  <printOptions horizontalCentered="1"/>
  <pageMargins left="0.45" right="0.45" top="0.75" bottom="0.5" header="0.3" footer="0.3"/>
  <pageSetup paperSize="17" scale="10" fitToHeight="0" orientation="landscape" horizontalDpi="4294967295" verticalDpi="4294967295" r:id="rId18"/>
  <headerFooter>
    <oddFooter>&amp;RPage&amp;Pof&amp;N</oddFooter>
  </headerFooter>
  <legacyDrawing r:id="rId1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57"/>
  <sheetViews>
    <sheetView showGridLines="0" view="pageBreakPreview" zoomScaleNormal="100" zoomScaleSheetLayoutView="100" workbookViewId="0">
      <pane xSplit="2" ySplit="4" topLeftCell="C5" activePane="bottomRight" state="frozen"/>
      <selection activeCell="AB1" sqref="AB1:AC1048576"/>
      <selection pane="topRight" activeCell="AB1" sqref="AB1:AC1048576"/>
      <selection pane="bottomLeft" activeCell="AB1" sqref="AB1:AC1048576"/>
      <selection pane="bottomRight" activeCell="AA27" sqref="AA27"/>
    </sheetView>
  </sheetViews>
  <sheetFormatPr defaultColWidth="7.5703125" defaultRowHeight="13.5"/>
  <cols>
    <col min="1" max="1" width="38.7109375" style="627" customWidth="1"/>
    <col min="2" max="2" width="1.140625" style="627" customWidth="1"/>
    <col min="3" max="3" width="10" style="638" bestFit="1" customWidth="1"/>
    <col min="4" max="4" width="1" style="627" customWidth="1"/>
    <col min="5" max="5" width="5.5703125" style="627" bestFit="1" customWidth="1"/>
    <col min="6" max="6" width="1" style="627" customWidth="1"/>
    <col min="7" max="7" width="9.85546875" style="627" customWidth="1"/>
    <col min="8" max="8" width="1" style="627" customWidth="1"/>
    <col min="9" max="9" width="11.42578125" style="627" bestFit="1" customWidth="1"/>
    <col min="10" max="10" width="1.140625" style="627" customWidth="1"/>
    <col min="11" max="11" width="11.42578125" style="627" customWidth="1"/>
    <col min="12" max="12" width="1.140625" style="627" customWidth="1"/>
    <col min="13" max="13" width="10.5703125" style="627" customWidth="1"/>
    <col min="14" max="14" width="2.140625" style="627" customWidth="1"/>
    <col min="15" max="15" width="10.7109375" style="627" customWidth="1"/>
    <col min="16" max="16" width="2.140625" style="627" customWidth="1"/>
    <col min="17" max="17" width="8.28515625" style="627" customWidth="1"/>
    <col min="18" max="18" width="2.140625" style="627" customWidth="1"/>
    <col min="19" max="19" width="10.42578125" style="627" customWidth="1"/>
    <col min="20" max="20" width="2.140625" style="627" customWidth="1"/>
    <col min="21" max="21" width="10.7109375" style="627" bestFit="1" customWidth="1"/>
    <col min="22" max="22" width="2.28515625" style="627" customWidth="1"/>
    <col min="23" max="23" width="9.28515625" style="627" bestFit="1" customWidth="1"/>
    <col min="24" max="24" width="2.140625" style="627" customWidth="1"/>
    <col min="25" max="25" width="9.28515625" style="627" customWidth="1"/>
    <col min="26" max="26" width="8.7109375" style="627" bestFit="1" customWidth="1"/>
    <col min="27" max="27" width="9.42578125" style="627" bestFit="1" customWidth="1"/>
    <col min="28" max="16384" width="7.5703125" style="627"/>
  </cols>
  <sheetData>
    <row r="1" spans="1:27" s="623" customFormat="1" ht="15">
      <c r="A1" s="621" t="s">
        <v>533</v>
      </c>
      <c r="B1" s="621"/>
      <c r="C1" s="622" t="s">
        <v>534</v>
      </c>
      <c r="D1" s="622"/>
      <c r="E1" s="622" t="s">
        <v>535</v>
      </c>
      <c r="F1" s="622"/>
      <c r="G1" s="622" t="s">
        <v>536</v>
      </c>
      <c r="H1" s="622"/>
      <c r="I1" s="622" t="s">
        <v>537</v>
      </c>
      <c r="J1" s="622"/>
      <c r="K1" s="622" t="s">
        <v>538</v>
      </c>
      <c r="L1" s="622"/>
      <c r="M1" s="622" t="s">
        <v>539</v>
      </c>
      <c r="N1" s="622"/>
      <c r="O1" s="622" t="s">
        <v>540</v>
      </c>
      <c r="P1" s="622"/>
      <c r="Q1" s="622" t="s">
        <v>541</v>
      </c>
      <c r="R1" s="622"/>
      <c r="S1" s="622" t="s">
        <v>542</v>
      </c>
      <c r="T1" s="622"/>
      <c r="U1" s="622" t="s">
        <v>543</v>
      </c>
      <c r="V1" s="622"/>
      <c r="W1" s="622" t="s">
        <v>544</v>
      </c>
      <c r="X1" s="622"/>
      <c r="Y1" s="622" t="s">
        <v>545</v>
      </c>
    </row>
    <row r="2" spans="1:27" s="623" customFormat="1" ht="6" customHeight="1">
      <c r="A2" s="624"/>
      <c r="B2" s="625"/>
      <c r="C2" s="626"/>
      <c r="D2" s="626"/>
      <c r="E2" s="626"/>
      <c r="F2" s="626"/>
      <c r="G2" s="626"/>
      <c r="H2" s="626"/>
      <c r="I2" s="626"/>
      <c r="J2" s="626"/>
      <c r="K2" s="626"/>
      <c r="L2" s="625"/>
      <c r="M2" s="625"/>
      <c r="N2" s="625"/>
      <c r="O2" s="625"/>
      <c r="P2" s="625"/>
      <c r="Q2" s="625"/>
      <c r="R2" s="626"/>
      <c r="S2" s="626"/>
      <c r="T2" s="625"/>
      <c r="U2" s="625"/>
      <c r="V2" s="625"/>
      <c r="W2" s="625"/>
      <c r="X2" s="625"/>
      <c r="Y2" s="625"/>
    </row>
    <row r="3" spans="1:27" ht="15">
      <c r="C3" s="628" t="s">
        <v>546</v>
      </c>
      <c r="D3" s="629"/>
      <c r="E3" s="629"/>
      <c r="F3" s="629"/>
      <c r="G3" s="629"/>
      <c r="H3" s="629"/>
      <c r="I3" s="630"/>
      <c r="J3" s="629"/>
      <c r="K3" s="628"/>
      <c r="L3" s="633"/>
      <c r="M3" s="628" t="s">
        <v>592</v>
      </c>
      <c r="N3" s="632"/>
      <c r="O3" s="632"/>
      <c r="P3" s="633"/>
      <c r="Q3" s="628" t="s">
        <v>311</v>
      </c>
      <c r="R3" s="632"/>
      <c r="S3" s="632"/>
      <c r="T3" s="633"/>
      <c r="U3" s="864" t="s">
        <v>612</v>
      </c>
      <c r="V3" s="864"/>
      <c r="W3" s="864"/>
      <c r="X3" s="864"/>
      <c r="Y3" s="864"/>
    </row>
    <row r="4" spans="1:27" ht="75">
      <c r="A4" s="621" t="s">
        <v>60</v>
      </c>
      <c r="B4" s="624"/>
      <c r="C4" s="622" t="s">
        <v>547</v>
      </c>
      <c r="D4" s="634"/>
      <c r="E4" s="634" t="s">
        <v>548</v>
      </c>
      <c r="F4" s="634"/>
      <c r="G4" s="634" t="s">
        <v>332</v>
      </c>
      <c r="H4" s="634"/>
      <c r="I4" s="634" t="s">
        <v>549</v>
      </c>
      <c r="J4" s="634"/>
      <c r="K4" s="634" t="s">
        <v>550</v>
      </c>
      <c r="L4" s="635"/>
      <c r="M4" s="634" t="s">
        <v>552</v>
      </c>
      <c r="N4" s="634" t="s">
        <v>368</v>
      </c>
      <c r="O4" s="634" t="s">
        <v>649</v>
      </c>
      <c r="P4" s="634" t="s">
        <v>368</v>
      </c>
      <c r="Q4" s="634" t="s">
        <v>650</v>
      </c>
      <c r="R4" s="634" t="s">
        <v>368</v>
      </c>
      <c r="S4" s="634" t="s">
        <v>604</v>
      </c>
      <c r="T4" s="634" t="s">
        <v>551</v>
      </c>
      <c r="U4" s="634" t="s">
        <v>388</v>
      </c>
      <c r="V4" s="634" t="s">
        <v>368</v>
      </c>
      <c r="W4" s="634" t="s">
        <v>450</v>
      </c>
      <c r="X4" s="634" t="s">
        <v>551</v>
      </c>
      <c r="Y4" s="634" t="str">
        <f>Summary!$A$30</f>
        <v>Total Net City Fund Impact (AHTF + Other)</v>
      </c>
    </row>
    <row r="5" spans="1:27" ht="6" customHeight="1">
      <c r="A5" s="624"/>
      <c r="B5" s="624"/>
      <c r="C5" s="636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</row>
    <row r="6" spans="1:27" ht="18.75">
      <c r="A6" s="726" t="s">
        <v>655</v>
      </c>
      <c r="E6" s="639"/>
      <c r="F6" s="639"/>
      <c r="G6" s="639"/>
      <c r="H6" s="639"/>
      <c r="I6" s="639"/>
      <c r="J6" s="639"/>
      <c r="K6" s="640"/>
      <c r="L6" s="640"/>
      <c r="M6" s="639"/>
      <c r="N6" s="640"/>
      <c r="O6" s="639"/>
      <c r="P6" s="640"/>
      <c r="Q6" s="639"/>
      <c r="R6" s="640"/>
      <c r="S6" s="639"/>
      <c r="T6" s="640"/>
      <c r="V6" s="640"/>
    </row>
    <row r="7" spans="1:27" ht="6" customHeight="1">
      <c r="A7" s="641"/>
      <c r="B7" s="642"/>
      <c r="C7" s="643"/>
      <c r="D7" s="643"/>
      <c r="E7" s="643"/>
      <c r="F7" s="643"/>
      <c r="G7" s="643"/>
      <c r="H7" s="643"/>
      <c r="I7" s="643"/>
      <c r="J7" s="643"/>
      <c r="K7" s="644"/>
      <c r="L7" s="645"/>
      <c r="M7" s="644"/>
      <c r="N7" s="645"/>
      <c r="O7" s="644"/>
      <c r="P7" s="645"/>
      <c r="Q7" s="644"/>
      <c r="R7" s="645"/>
      <c r="S7" s="644"/>
      <c r="T7" s="645"/>
      <c r="U7" s="644"/>
      <c r="V7" s="645"/>
      <c r="W7" s="644"/>
      <c r="X7" s="644"/>
      <c r="Y7" s="644"/>
    </row>
    <row r="8" spans="1:27" ht="15">
      <c r="A8" s="637" t="s">
        <v>667</v>
      </c>
      <c r="C8" s="646"/>
      <c r="D8" s="646"/>
      <c r="E8" s="647"/>
      <c r="F8" s="647"/>
      <c r="G8" s="647"/>
      <c r="H8" s="639"/>
      <c r="I8" s="639"/>
      <c r="J8" s="639"/>
      <c r="K8" s="640"/>
      <c r="L8" s="640"/>
      <c r="M8" s="639"/>
      <c r="N8" s="640"/>
      <c r="O8" s="639"/>
      <c r="P8" s="640"/>
      <c r="Q8" s="639"/>
      <c r="R8" s="640"/>
      <c r="S8" s="639"/>
      <c r="T8" s="640"/>
      <c r="V8" s="640"/>
    </row>
    <row r="9" spans="1:27">
      <c r="A9" s="709" t="str">
        <f>Sites!A5</f>
        <v>Wood Street</v>
      </c>
      <c r="B9" s="642"/>
      <c r="C9" s="646">
        <f>SUMIF(Sites!$A:$A,$A9,Sites!$I:$I)</f>
        <v>147081</v>
      </c>
      <c r="D9" s="643"/>
      <c r="E9" s="646">
        <f>SUMIF(Sites!$A:$A,$A9,Sites!$BV:$BV)</f>
        <v>292</v>
      </c>
      <c r="F9" s="643"/>
      <c r="G9" s="646">
        <f>SUMIF(Sites!$A:$A,$A9,Sites!$BW:$BW)</f>
        <v>0</v>
      </c>
      <c r="H9" s="643"/>
      <c r="I9" s="643">
        <v>0</v>
      </c>
      <c r="J9" s="643"/>
      <c r="K9" s="644">
        <f>SUMIF(Sites!$A:$A,$A9,Sites!$AG:$AG)</f>
        <v>11766480</v>
      </c>
      <c r="L9" s="707"/>
      <c r="M9" s="644">
        <f t="shared" ref="M9:M22" si="0">-C$43*$E9</f>
        <v>-29711584</v>
      </c>
      <c r="N9" s="707"/>
      <c r="O9" s="644">
        <v>0</v>
      </c>
      <c r="P9" s="707"/>
      <c r="Q9" s="644">
        <v>0</v>
      </c>
      <c r="R9" s="707"/>
      <c r="S9" s="644">
        <f t="shared" ref="S9:S22" si="1">$G9*C$42</f>
        <v>0</v>
      </c>
      <c r="T9" s="707"/>
      <c r="U9" s="644">
        <f t="shared" ref="U9:U20" si="2">SUM(M9:S9)</f>
        <v>-29711584</v>
      </c>
      <c r="V9" s="707"/>
      <c r="W9" s="644">
        <f>SUMIF(Sites!$A:$A,$A9,Sites!$CD:$CD)-SUMIF(Sites!$A:$A,$A9,Sites!$CE:$CE)</f>
        <v>0</v>
      </c>
      <c r="X9" s="644"/>
      <c r="Y9" s="644">
        <f>U9+W9</f>
        <v>-29711584</v>
      </c>
      <c r="Z9" s="644">
        <f>SUMIF(Sites!$A:$A,$A9,Sites!$CH:$CH)</f>
        <v>-29711584</v>
      </c>
      <c r="AA9" s="627" t="b">
        <f t="shared" ref="AA9:AA22" si="3">U9=Z9</f>
        <v>1</v>
      </c>
    </row>
    <row r="10" spans="1:27">
      <c r="A10" s="709" t="str">
        <f>Sites!A6</f>
        <v>Rotunda Garage Remainder</v>
      </c>
      <c r="C10" s="646">
        <f>SUMIF(Sites!$A:$A,$A10,Sites!$I:$I)</f>
        <v>6697</v>
      </c>
      <c r="D10" s="646"/>
      <c r="E10" s="646">
        <f>SUMIF(Sites!$A:$A,$A10,Sites!$BV:$BV)</f>
        <v>25</v>
      </c>
      <c r="F10" s="643"/>
      <c r="G10" s="646">
        <f>SUMIF(Sites!$A:$A,$A10,Sites!$BW:$BW)</f>
        <v>0</v>
      </c>
      <c r="H10" s="643"/>
      <c r="I10" s="643">
        <v>0</v>
      </c>
      <c r="J10" s="643"/>
      <c r="K10" s="644">
        <f>SUMIF(Sites!$A:$A,$A10,Sites!$AG:$AG)</f>
        <v>1339400</v>
      </c>
      <c r="L10" s="707"/>
      <c r="M10" s="644">
        <f t="shared" si="0"/>
        <v>-2543800</v>
      </c>
      <c r="N10" s="707"/>
      <c r="O10" s="644">
        <v>0</v>
      </c>
      <c r="P10" s="707"/>
      <c r="Q10" s="644">
        <v>0</v>
      </c>
      <c r="R10" s="707"/>
      <c r="S10" s="644">
        <f t="shared" si="1"/>
        <v>0</v>
      </c>
      <c r="T10" s="707"/>
      <c r="U10" s="644">
        <f t="shared" si="2"/>
        <v>-2543800</v>
      </c>
      <c r="V10" s="707"/>
      <c r="W10" s="644">
        <f>SUMIF(Sites!$A:$A,$A10,Sites!$CD:$CD)-SUMIF(Sites!$A:$A,$A10,Sites!$CE:$CE)</f>
        <v>0</v>
      </c>
      <c r="X10" s="644"/>
      <c r="Y10" s="644">
        <f t="shared" ref="Y10:Y22" si="4">U10+W10</f>
        <v>-2543800</v>
      </c>
      <c r="Z10" s="644">
        <f>SUMIF(Sites!$A:$A,$A10,Sites!$CH:$CH)</f>
        <v>-2543800</v>
      </c>
      <c r="AA10" s="627" t="b">
        <f t="shared" si="3"/>
        <v>1</v>
      </c>
    </row>
    <row r="11" spans="1:27">
      <c r="A11" s="709" t="str">
        <f>Sites!A7</f>
        <v>MLK Sites</v>
      </c>
      <c r="B11" s="648"/>
      <c r="C11" s="646">
        <f>SUMIF(Sites!$A:$A,$A11,Sites!$I:$I)</f>
        <v>9125</v>
      </c>
      <c r="D11" s="643"/>
      <c r="E11" s="646">
        <f>SUMIF(Sites!$A:$A,$A11,Sites!$BV:$BV)</f>
        <v>21</v>
      </c>
      <c r="F11" s="643"/>
      <c r="G11" s="646">
        <f>SUMIF(Sites!$A:$A,$A11,Sites!$BW:$BW)</f>
        <v>0</v>
      </c>
      <c r="H11" s="643"/>
      <c r="I11" s="643">
        <v>0</v>
      </c>
      <c r="J11" s="643"/>
      <c r="K11" s="644">
        <f>SUMIF(Sites!$A:$A,$A11,Sites!$AG:$AG)</f>
        <v>1095000</v>
      </c>
      <c r="L11" s="707"/>
      <c r="M11" s="644">
        <f t="shared" si="0"/>
        <v>-2136792</v>
      </c>
      <c r="N11" s="707"/>
      <c r="O11" s="644">
        <v>0</v>
      </c>
      <c r="P11" s="707"/>
      <c r="Q11" s="644">
        <v>0</v>
      </c>
      <c r="R11" s="707"/>
      <c r="S11" s="644">
        <f t="shared" si="1"/>
        <v>0</v>
      </c>
      <c r="T11" s="707"/>
      <c r="U11" s="644">
        <f t="shared" si="2"/>
        <v>-2136792</v>
      </c>
      <c r="V11" s="707"/>
      <c r="W11" s="644">
        <f>SUMIF(Sites!$A:$A,$A11,Sites!$CD:$CD)-SUMIF(Sites!$A:$A,$A11,Sites!$CE:$CE)</f>
        <v>0</v>
      </c>
      <c r="X11" s="644"/>
      <c r="Y11" s="644">
        <f t="shared" si="4"/>
        <v>-2136792</v>
      </c>
      <c r="Z11" s="644">
        <f>SUMIF(Sites!$A:$A,$A11,Sites!$CH:$CH)</f>
        <v>-2136792</v>
      </c>
      <c r="AA11" s="627" t="b">
        <f t="shared" si="3"/>
        <v>1</v>
      </c>
    </row>
    <row r="12" spans="1:27">
      <c r="A12" s="709" t="str">
        <f>Sites!A8</f>
        <v>Piedmont Ave/Howe St Parking</v>
      </c>
      <c r="B12" s="642"/>
      <c r="C12" s="646">
        <f>SUMIF(Sites!$A:$A,$A12,Sites!$I:$I)</f>
        <v>43532</v>
      </c>
      <c r="D12" s="643"/>
      <c r="E12" s="646">
        <f>SUMIF(Sites!$A:$A,$A12,Sites!$BV:$BV)</f>
        <v>97</v>
      </c>
      <c r="F12" s="643"/>
      <c r="G12" s="646">
        <f>SUMIF(Sites!$A:$A,$A12,Sites!$BW:$BW)</f>
        <v>0</v>
      </c>
      <c r="H12" s="643"/>
      <c r="I12" s="643">
        <v>0</v>
      </c>
      <c r="J12" s="643"/>
      <c r="K12" s="644">
        <f>SUMIF(Sites!$A:$A,$A12,Sites!$AG:$AG)</f>
        <v>15236200</v>
      </c>
      <c r="L12" s="707"/>
      <c r="M12" s="644">
        <f t="shared" si="0"/>
        <v>-9869944</v>
      </c>
      <c r="N12" s="707"/>
      <c r="O12" s="644">
        <v>0</v>
      </c>
      <c r="P12" s="707"/>
      <c r="Q12" s="644">
        <v>0</v>
      </c>
      <c r="R12" s="707"/>
      <c r="S12" s="644">
        <f t="shared" si="1"/>
        <v>0</v>
      </c>
      <c r="T12" s="707"/>
      <c r="U12" s="644">
        <f t="shared" si="2"/>
        <v>-9869944</v>
      </c>
      <c r="V12" s="707"/>
      <c r="W12" s="644">
        <f>SUMIF(Sites!$A:$A,$A12,Sites!$CD:$CD)-SUMIF(Sites!$A:$A,$A12,Sites!$CE:$CE)</f>
        <v>0</v>
      </c>
      <c r="X12" s="644"/>
      <c r="Y12" s="644">
        <f t="shared" si="4"/>
        <v>-9869944</v>
      </c>
      <c r="Z12" s="644">
        <f>SUMIF(Sites!$A:$A,$A12,Sites!$CH:$CH)</f>
        <v>-9869944</v>
      </c>
      <c r="AA12" s="627" t="b">
        <f t="shared" si="3"/>
        <v>1</v>
      </c>
    </row>
    <row r="13" spans="1:27">
      <c r="A13" s="709" t="str">
        <f>Sites!A9</f>
        <v>Miller Library Site</v>
      </c>
      <c r="B13" s="642"/>
      <c r="C13" s="646">
        <f>SUMIF(Sites!$A:$A,$A13,Sites!$I:$I)</f>
        <v>11969</v>
      </c>
      <c r="D13" s="643"/>
      <c r="E13" s="646">
        <f>SUMIF(Sites!$A:$A,$A13,Sites!$BV:$BV)</f>
        <v>10</v>
      </c>
      <c r="F13" s="643"/>
      <c r="G13" s="646">
        <f>SUMIF(Sites!$A:$A,$A13,Sites!$BW:$BW)</f>
        <v>0</v>
      </c>
      <c r="H13" s="643"/>
      <c r="I13" s="643">
        <v>0</v>
      </c>
      <c r="J13" s="643"/>
      <c r="K13" s="644">
        <f>SUMIF(Sites!$A:$A,$A13,Sites!$AG:$AG)</f>
        <v>1077210</v>
      </c>
      <c r="L13" s="707"/>
      <c r="M13" s="644">
        <f t="shared" si="0"/>
        <v>-1017520</v>
      </c>
      <c r="N13" s="707"/>
      <c r="O13" s="644">
        <v>0</v>
      </c>
      <c r="P13" s="707"/>
      <c r="Q13" s="644">
        <v>0</v>
      </c>
      <c r="R13" s="707"/>
      <c r="S13" s="644">
        <f t="shared" si="1"/>
        <v>0</v>
      </c>
      <c r="T13" s="707"/>
      <c r="U13" s="644">
        <f t="shared" si="2"/>
        <v>-1017520</v>
      </c>
      <c r="V13" s="707"/>
      <c r="W13" s="644">
        <f>SUMIF(Sites!$A:$A,$A13,Sites!$CD:$CD)-SUMIF(Sites!$A:$A,$A13,Sites!$CE:$CE)</f>
        <v>0</v>
      </c>
      <c r="X13" s="644"/>
      <c r="Y13" s="644">
        <f t="shared" si="4"/>
        <v>-1017520</v>
      </c>
      <c r="Z13" s="644">
        <f>SUMIF(Sites!$A:$A,$A13,Sites!$CH:$CH)</f>
        <v>-1017520</v>
      </c>
      <c r="AA13" s="627" t="b">
        <f t="shared" si="3"/>
        <v>1</v>
      </c>
    </row>
    <row r="14" spans="1:27">
      <c r="A14" s="709" t="str">
        <f>Sites!A10</f>
        <v xml:space="preserve">27th &amp; Foothill </v>
      </c>
      <c r="B14" s="642"/>
      <c r="C14" s="646">
        <f>SUMIF(Sites!$A:$A,$A14,Sites!$I:$I)</f>
        <v>22581</v>
      </c>
      <c r="D14" s="643"/>
      <c r="E14" s="646">
        <f>SUMIF(Sites!$A:$A,$A14,Sites!$BV:$BV)</f>
        <v>51</v>
      </c>
      <c r="F14" s="643"/>
      <c r="G14" s="646">
        <f>SUMIF(Sites!$A:$A,$A14,Sites!$BW:$BW)</f>
        <v>0</v>
      </c>
      <c r="H14" s="643"/>
      <c r="I14" s="643">
        <v>0</v>
      </c>
      <c r="J14" s="643"/>
      <c r="K14" s="644">
        <f>SUMIF(Sites!$A:$A,$A14,Sites!$AG:$AG)</f>
        <v>1016145</v>
      </c>
      <c r="L14" s="707"/>
      <c r="M14" s="644">
        <f t="shared" si="0"/>
        <v>-5189352</v>
      </c>
      <c r="N14" s="707"/>
      <c r="O14" s="644">
        <v>0</v>
      </c>
      <c r="P14" s="707"/>
      <c r="Q14" s="644">
        <v>0</v>
      </c>
      <c r="R14" s="707"/>
      <c r="S14" s="644">
        <f t="shared" si="1"/>
        <v>0</v>
      </c>
      <c r="T14" s="707"/>
      <c r="U14" s="644">
        <f t="shared" si="2"/>
        <v>-5189352</v>
      </c>
      <c r="V14" s="707"/>
      <c r="W14" s="644">
        <f>SUMIF(Sites!$A:$A,$A14,Sites!$CD:$CD)-SUMIF(Sites!$A:$A,$A14,Sites!$CE:$CE)</f>
        <v>0</v>
      </c>
      <c r="X14" s="644"/>
      <c r="Y14" s="644">
        <f t="shared" si="4"/>
        <v>-5189352</v>
      </c>
      <c r="Z14" s="644">
        <f>SUMIF(Sites!$A:$A,$A14,Sites!$CH:$CH)</f>
        <v>-5189352</v>
      </c>
      <c r="AA14" s="627" t="b">
        <f t="shared" si="3"/>
        <v>1</v>
      </c>
    </row>
    <row r="15" spans="1:27">
      <c r="A15" s="709" t="str">
        <f>Sites!A11</f>
        <v xml:space="preserve">36th &amp; Foothill </v>
      </c>
      <c r="B15" s="642"/>
      <c r="C15" s="646">
        <f>SUMIF(Sites!$A:$A,$A15,Sites!$I:$I)</f>
        <v>34164</v>
      </c>
      <c r="D15" s="643"/>
      <c r="E15" s="646">
        <f>SUMIF(Sites!$A:$A,$A15,Sites!$BV:$BV)</f>
        <v>76</v>
      </c>
      <c r="F15" s="643"/>
      <c r="G15" s="646">
        <f>SUMIF(Sites!$A:$A,$A15,Sites!$BW:$BW)</f>
        <v>0</v>
      </c>
      <c r="H15" s="643"/>
      <c r="I15" s="643">
        <v>0</v>
      </c>
      <c r="J15" s="643"/>
      <c r="K15" s="644">
        <f>SUMIF(Sites!$A:$A,$A15,Sites!$AG:$AG)</f>
        <v>1537380</v>
      </c>
      <c r="L15" s="707"/>
      <c r="M15" s="644">
        <f t="shared" si="0"/>
        <v>-7733152</v>
      </c>
      <c r="N15" s="707"/>
      <c r="O15" s="644">
        <v>0</v>
      </c>
      <c r="P15" s="707"/>
      <c r="Q15" s="644">
        <v>0</v>
      </c>
      <c r="R15" s="707"/>
      <c r="S15" s="644">
        <f t="shared" si="1"/>
        <v>0</v>
      </c>
      <c r="T15" s="707"/>
      <c r="U15" s="644">
        <f t="shared" si="2"/>
        <v>-7733152</v>
      </c>
      <c r="V15" s="707"/>
      <c r="W15" s="644">
        <f>SUMIF(Sites!$A:$A,$A15,Sites!$CD:$CD)-SUMIF(Sites!$A:$A,$A15,Sites!$CE:$CE)</f>
        <v>0</v>
      </c>
      <c r="X15" s="644"/>
      <c r="Y15" s="644">
        <f t="shared" si="4"/>
        <v>-7733152</v>
      </c>
      <c r="Z15" s="644">
        <f>SUMIF(Sites!$A:$A,$A15,Sites!$CH:$CH)</f>
        <v>-7733152</v>
      </c>
      <c r="AA15" s="627" t="b">
        <f t="shared" si="3"/>
        <v>1</v>
      </c>
    </row>
    <row r="16" spans="1:27">
      <c r="A16" s="709" t="str">
        <f>Sites!A12</f>
        <v>73rd &amp; International</v>
      </c>
      <c r="C16" s="646">
        <f>SUMIF(Sites!$A:$A,$A16,Sites!$I:$I)</f>
        <v>5435</v>
      </c>
      <c r="D16" s="646"/>
      <c r="E16" s="646">
        <f>SUMIF(Sites!$A:$A,$A16,Sites!$BV:$BV)</f>
        <v>13</v>
      </c>
      <c r="F16" s="646"/>
      <c r="G16" s="646">
        <f>SUMIF(Sites!$A:$A,$A16,Sites!$BW:$BW)</f>
        <v>0</v>
      </c>
      <c r="H16" s="643"/>
      <c r="I16" s="666">
        <v>0</v>
      </c>
      <c r="J16" s="667"/>
      <c r="K16" s="644">
        <f>SUMIF(Sites!$A:$A,$A16,Sites!$AG:$AG)</f>
        <v>407625</v>
      </c>
      <c r="L16" s="707"/>
      <c r="M16" s="644">
        <f t="shared" si="0"/>
        <v>-1322776</v>
      </c>
      <c r="N16" s="707"/>
      <c r="O16" s="644">
        <v>0</v>
      </c>
      <c r="P16" s="707"/>
      <c r="Q16" s="644">
        <f>IF(I16&gt;25000,(I16-25000),0)*6</f>
        <v>0</v>
      </c>
      <c r="R16" s="707"/>
      <c r="S16" s="644">
        <f t="shared" si="1"/>
        <v>0</v>
      </c>
      <c r="T16" s="707"/>
      <c r="U16" s="644">
        <f t="shared" si="2"/>
        <v>-1322776</v>
      </c>
      <c r="V16" s="707"/>
      <c r="W16" s="644">
        <f>SUMIF(Sites!$A:$A,$A16,Sites!$CD:$CD)-SUMIF(Sites!$A:$A,$A16,Sites!$CE:$CE)</f>
        <v>0</v>
      </c>
      <c r="X16" s="644"/>
      <c r="Y16" s="644">
        <f t="shared" si="4"/>
        <v>-1322776</v>
      </c>
      <c r="Z16" s="644">
        <f>SUMIF(Sites!$A:$A,$A16,Sites!$CH:$CH)</f>
        <v>-1322776</v>
      </c>
      <c r="AA16" s="627" t="b">
        <f t="shared" si="3"/>
        <v>1</v>
      </c>
    </row>
    <row r="17" spans="1:27">
      <c r="A17" s="709" t="str">
        <f>Sites!A13</f>
        <v xml:space="preserve">Clara &amp; Edes </v>
      </c>
      <c r="B17" s="642"/>
      <c r="C17" s="646">
        <f>SUMIF(Sites!$A:$A,$A17,Sites!$I:$I)</f>
        <v>26311</v>
      </c>
      <c r="D17" s="643"/>
      <c r="E17" s="646">
        <f>SUMIF(Sites!$A:$A,$A17,Sites!$BV:$BV)</f>
        <v>32</v>
      </c>
      <c r="F17" s="643"/>
      <c r="G17" s="646">
        <f>SUMIF(Sites!$A:$A,$A17,Sites!$BW:$BW)</f>
        <v>0</v>
      </c>
      <c r="H17" s="643"/>
      <c r="I17" s="643">
        <v>0</v>
      </c>
      <c r="J17" s="643"/>
      <c r="K17" s="644">
        <f>SUMIF(Sites!$A:$A,$A17,Sites!$AG:$AG)</f>
        <v>1052440</v>
      </c>
      <c r="L17" s="707"/>
      <c r="M17" s="644">
        <f t="shared" si="0"/>
        <v>-3256064</v>
      </c>
      <c r="N17" s="707"/>
      <c r="O17" s="644">
        <v>0</v>
      </c>
      <c r="P17" s="707"/>
      <c r="Q17" s="644">
        <v>0</v>
      </c>
      <c r="R17" s="707"/>
      <c r="S17" s="644">
        <f t="shared" si="1"/>
        <v>0</v>
      </c>
      <c r="T17" s="707"/>
      <c r="U17" s="644">
        <f t="shared" si="2"/>
        <v>-3256064</v>
      </c>
      <c r="V17" s="707"/>
      <c r="W17" s="644">
        <f>SUMIF(Sites!$A:$A,$A17,Sites!$CD:$CD)-SUMIF(Sites!$A:$A,$A17,Sites!$CE:$CE)</f>
        <v>0</v>
      </c>
      <c r="X17" s="644"/>
      <c r="Y17" s="644">
        <f t="shared" si="4"/>
        <v>-3256064</v>
      </c>
      <c r="Z17" s="644">
        <f>SUMIF(Sites!$A:$A,$A17,Sites!$CH:$CH)</f>
        <v>-3256064</v>
      </c>
      <c r="AA17" s="627" t="b">
        <f t="shared" si="3"/>
        <v>1</v>
      </c>
    </row>
    <row r="18" spans="1:27">
      <c r="A18" s="709" t="str">
        <f>Sites!A14</f>
        <v>Golf Links Road</v>
      </c>
      <c r="B18" s="642"/>
      <c r="C18" s="646">
        <f>SUMIF(Sites!$A:$A,$A18,Sites!$I:$I)</f>
        <v>32038</v>
      </c>
      <c r="D18" s="643"/>
      <c r="E18" s="646">
        <f>SUMIF(Sites!$A:$A,$A18,Sites!$BV:$BV)</f>
        <v>40</v>
      </c>
      <c r="F18" s="643"/>
      <c r="G18" s="646">
        <f>SUMIF(Sites!$A:$A,$A18,Sites!$BW:$BW)</f>
        <v>0</v>
      </c>
      <c r="H18" s="643"/>
      <c r="I18" s="643">
        <v>0</v>
      </c>
      <c r="J18" s="643"/>
      <c r="K18" s="644">
        <f>SUMIF(Sites!$A:$A,$A18,Sites!$AG:$AG)</f>
        <v>1281520</v>
      </c>
      <c r="L18" s="707"/>
      <c r="M18" s="644">
        <f t="shared" si="0"/>
        <v>-4070080</v>
      </c>
      <c r="N18" s="707"/>
      <c r="O18" s="644">
        <v>0</v>
      </c>
      <c r="P18" s="707"/>
      <c r="Q18" s="644">
        <v>0</v>
      </c>
      <c r="R18" s="707"/>
      <c r="S18" s="644">
        <f t="shared" si="1"/>
        <v>0</v>
      </c>
      <c r="T18" s="707"/>
      <c r="U18" s="644">
        <f t="shared" si="2"/>
        <v>-4070080</v>
      </c>
      <c r="V18" s="707"/>
      <c r="W18" s="644">
        <f>SUMIF(Sites!$A:$A,$A18,Sites!$CD:$CD)-SUMIF(Sites!$A:$A,$A18,Sites!$CE:$CE)</f>
        <v>0</v>
      </c>
      <c r="X18" s="644"/>
      <c r="Y18" s="644">
        <f t="shared" si="4"/>
        <v>-4070080</v>
      </c>
      <c r="Z18" s="644">
        <f>SUMIF(Sites!$A:$A,$A18,Sites!$CH:$CH)</f>
        <v>-4070080</v>
      </c>
      <c r="AA18" s="627" t="b">
        <f t="shared" si="3"/>
        <v>1</v>
      </c>
    </row>
    <row r="19" spans="1:27">
      <c r="A19" s="709" t="str">
        <f>Sites!A15</f>
        <v>8280 &amp; 8296 MacArthur</v>
      </c>
      <c r="C19" s="646">
        <f>SUMIF(Sites!$A:$A,$A19,Sites!$I:$I)</f>
        <v>12720</v>
      </c>
      <c r="D19" s="646"/>
      <c r="E19" s="646">
        <f>SUMIF(Sites!$A:$A,$A19,Sites!$BV:$BV)</f>
        <v>8</v>
      </c>
      <c r="F19" s="643"/>
      <c r="G19" s="646">
        <f>SUMIF(Sites!$A:$A,$A19,Sites!$BW:$BW)</f>
        <v>0</v>
      </c>
      <c r="H19" s="643"/>
      <c r="I19" s="643">
        <v>0</v>
      </c>
      <c r="J19" s="643"/>
      <c r="K19" s="644">
        <f>SUMIF(Sites!$A:$A,$A19,Sites!$AG:$AG)</f>
        <v>826800</v>
      </c>
      <c r="L19" s="707"/>
      <c r="M19" s="644">
        <f t="shared" si="0"/>
        <v>-814016</v>
      </c>
      <c r="N19" s="707"/>
      <c r="O19" s="644">
        <v>0</v>
      </c>
      <c r="P19" s="707"/>
      <c r="Q19" s="644">
        <v>0</v>
      </c>
      <c r="R19" s="707"/>
      <c r="S19" s="644">
        <f t="shared" si="1"/>
        <v>0</v>
      </c>
      <c r="T19" s="707"/>
      <c r="U19" s="644">
        <f t="shared" si="2"/>
        <v>-814016</v>
      </c>
      <c r="V19" s="707"/>
      <c r="W19" s="644">
        <f>SUMIF(Sites!$A:$A,$A19,Sites!$CD:$CD)-SUMIF(Sites!$A:$A,$A19,Sites!$CE:$CE)</f>
        <v>0</v>
      </c>
      <c r="X19" s="644"/>
      <c r="Y19" s="644">
        <f t="shared" si="4"/>
        <v>-814016</v>
      </c>
      <c r="Z19" s="644">
        <f>SUMIF(Sites!$A:$A,$A19,Sites!$CH:$CH)</f>
        <v>-814016</v>
      </c>
      <c r="AA19" s="627" t="b">
        <f t="shared" si="3"/>
        <v>1</v>
      </c>
    </row>
    <row r="20" spans="1:27">
      <c r="A20" s="709" t="str">
        <f>Sites!A16</f>
        <v>98th &amp; Stearns</v>
      </c>
      <c r="B20" s="642"/>
      <c r="C20" s="646">
        <f>SUMIF(Sites!$A:$A,$A20,Sites!$I:$I)</f>
        <v>20614</v>
      </c>
      <c r="D20" s="643"/>
      <c r="E20" s="646">
        <f>SUMIF(Sites!$A:$A,$A20,Sites!$BV:$BV)</f>
        <v>6</v>
      </c>
      <c r="F20" s="643"/>
      <c r="G20" s="646">
        <f>SUMIF(Sites!$A:$A,$A20,Sites!$BW:$BW)</f>
        <v>0</v>
      </c>
      <c r="H20" s="643"/>
      <c r="I20" s="643">
        <v>0</v>
      </c>
      <c r="J20" s="643"/>
      <c r="K20" s="644">
        <f>SUMIF(Sites!$A:$A,$A20,Sites!$AG:$AG)</f>
        <v>1855260</v>
      </c>
      <c r="L20" s="707"/>
      <c r="M20" s="644">
        <f t="shared" si="0"/>
        <v>-610512</v>
      </c>
      <c r="N20" s="707"/>
      <c r="O20" s="644">
        <v>0</v>
      </c>
      <c r="P20" s="707"/>
      <c r="Q20" s="644">
        <v>0</v>
      </c>
      <c r="R20" s="707"/>
      <c r="S20" s="644">
        <f t="shared" si="1"/>
        <v>0</v>
      </c>
      <c r="T20" s="707"/>
      <c r="U20" s="644">
        <f t="shared" si="2"/>
        <v>-610512</v>
      </c>
      <c r="V20" s="707"/>
      <c r="W20" s="644">
        <f>SUMIF(Sites!$A:$A,$A20,Sites!$CD:$CD)-SUMIF(Sites!$A:$A,$A20,Sites!$CE:$CE)</f>
        <v>0</v>
      </c>
      <c r="X20" s="644"/>
      <c r="Y20" s="644">
        <f t="shared" si="4"/>
        <v>-610512</v>
      </c>
      <c r="Z20" s="644">
        <f>SUMIF(Sites!$A:$A,$A20,Sites!$CH:$CH)</f>
        <v>-610512</v>
      </c>
      <c r="AA20" s="627" t="b">
        <f t="shared" si="3"/>
        <v>1</v>
      </c>
    </row>
    <row r="21" spans="1:27">
      <c r="A21" s="709" t="str">
        <f>Sites!A17</f>
        <v>10451 MacArthur</v>
      </c>
      <c r="B21" s="642"/>
      <c r="C21" s="646">
        <f>SUMIF(Sites!$A:$A,$A21,Sites!$I:$I)</f>
        <v>23000</v>
      </c>
      <c r="D21" s="643"/>
      <c r="E21" s="646">
        <f>SUMIF(Sites!$A:$A,$A21,Sites!$BV:$BV)</f>
        <v>52</v>
      </c>
      <c r="F21" s="643"/>
      <c r="G21" s="646">
        <f>SUMIF(Sites!$A:$A,$A21,Sites!$BW:$BW)</f>
        <v>0</v>
      </c>
      <c r="H21" s="643"/>
      <c r="I21" s="643">
        <v>0</v>
      </c>
      <c r="J21" s="643"/>
      <c r="K21" s="644">
        <f>SUMIF(Sites!$A:$A,$A21,Sites!$AG:$AG)</f>
        <v>1035000</v>
      </c>
      <c r="L21" s="707"/>
      <c r="M21" s="644">
        <f t="shared" si="0"/>
        <v>-5291104</v>
      </c>
      <c r="N21" s="707"/>
      <c r="O21" s="644">
        <v>0</v>
      </c>
      <c r="P21" s="707"/>
      <c r="Q21" s="644">
        <v>0</v>
      </c>
      <c r="R21" s="707"/>
      <c r="S21" s="644">
        <f t="shared" si="1"/>
        <v>0</v>
      </c>
      <c r="T21" s="707"/>
      <c r="U21" s="644">
        <f t="shared" ref="U21:U22" si="5">SUM(M21:S21)</f>
        <v>-5291104</v>
      </c>
      <c r="V21" s="707"/>
      <c r="W21" s="644">
        <f>SUMIF(Sites!$A:$A,$A21,Sites!$CD:$CD)-SUMIF(Sites!$A:$A,$A21,Sites!$CE:$CE)</f>
        <v>0</v>
      </c>
      <c r="X21" s="644"/>
      <c r="Y21" s="644">
        <f t="shared" si="4"/>
        <v>-5291104</v>
      </c>
      <c r="Z21" s="644">
        <f>SUMIF(Sites!$A:$A,$A21,Sites!$CH:$CH)</f>
        <v>-5291104</v>
      </c>
      <c r="AA21" s="627" t="b">
        <f t="shared" si="3"/>
        <v>1</v>
      </c>
    </row>
    <row r="22" spans="1:27">
      <c r="A22" s="709" t="str">
        <f>Sites!A18</f>
        <v>Barcelona Site (Oak Knoll)</v>
      </c>
      <c r="B22" s="642"/>
      <c r="C22" s="646">
        <f>SUMIF(Sites!$A:$A,$A22,Sites!$I:$I)</f>
        <v>205337</v>
      </c>
      <c r="D22" s="643"/>
      <c r="E22" s="646">
        <f>SUMIF(Sites!$A:$A,$A22,Sites!$BV:$BV)</f>
        <v>23</v>
      </c>
      <c r="F22" s="643"/>
      <c r="G22" s="646">
        <f>SUMIF(Sites!$A:$A,$A22,Sites!$BW:$BW)</f>
        <v>0</v>
      </c>
      <c r="H22" s="643"/>
      <c r="I22" s="643">
        <v>0</v>
      </c>
      <c r="J22" s="643"/>
      <c r="K22" s="644">
        <f>SUMIF(Sites!$A:$A,$A22,Sites!$AG:$AG)</f>
        <v>2550000</v>
      </c>
      <c r="L22" s="707"/>
      <c r="M22" s="644">
        <f t="shared" si="0"/>
        <v>-2340296</v>
      </c>
      <c r="N22" s="707"/>
      <c r="O22" s="644">
        <v>0</v>
      </c>
      <c r="P22" s="707"/>
      <c r="Q22" s="644">
        <v>0</v>
      </c>
      <c r="R22" s="707"/>
      <c r="S22" s="644">
        <f t="shared" si="1"/>
        <v>0</v>
      </c>
      <c r="T22" s="707"/>
      <c r="U22" s="644">
        <f t="shared" si="5"/>
        <v>-2340296</v>
      </c>
      <c r="V22" s="707"/>
      <c r="W22" s="644">
        <f>SUMIF(Sites!$A:$A,$A22,Sites!$CD:$CD)-SUMIF(Sites!$A:$A,$A22,Sites!$CE:$CE)</f>
        <v>0</v>
      </c>
      <c r="X22" s="644"/>
      <c r="Y22" s="644">
        <f t="shared" si="4"/>
        <v>-2340296</v>
      </c>
      <c r="Z22" s="644">
        <f>SUMIF(Sites!$A:$A,$A22,Sites!$CH:$CH)</f>
        <v>-2340296</v>
      </c>
      <c r="AA22" s="627" t="b">
        <f t="shared" si="3"/>
        <v>1</v>
      </c>
    </row>
    <row r="23" spans="1:27" ht="15">
      <c r="A23" s="637" t="s">
        <v>553</v>
      </c>
      <c r="B23" s="649"/>
      <c r="C23" s="650">
        <f>SUM(C9:C22)</f>
        <v>600604</v>
      </c>
      <c r="D23" s="651"/>
      <c r="E23" s="650">
        <f>SUM(E9:E22)</f>
        <v>746</v>
      </c>
      <c r="F23" s="651"/>
      <c r="G23" s="650">
        <f>SUM(G9:G22)</f>
        <v>0</v>
      </c>
      <c r="H23" s="651"/>
      <c r="I23" s="650">
        <f>SUM(I9:I22)</f>
        <v>0</v>
      </c>
      <c r="J23" s="651"/>
      <c r="K23" s="652">
        <f>SUM(K9:K22)</f>
        <v>42076460</v>
      </c>
      <c r="L23" s="768"/>
      <c r="M23" s="652">
        <f>SUM(M9:M22)</f>
        <v>-75906992</v>
      </c>
      <c r="N23" s="663"/>
      <c r="O23" s="652">
        <f>SUM(O9:O22)</f>
        <v>0</v>
      </c>
      <c r="P23" s="663"/>
      <c r="Q23" s="652">
        <f>SUM(Q9:Q22)</f>
        <v>0</v>
      </c>
      <c r="R23" s="663"/>
      <c r="S23" s="652">
        <f>SUM(S9:S22)</f>
        <v>0</v>
      </c>
      <c r="T23" s="663"/>
      <c r="U23" s="652">
        <f>SUM(U9:U22)</f>
        <v>-75906992</v>
      </c>
      <c r="V23" s="663"/>
      <c r="W23" s="652">
        <f>SUM(W9:W22)</f>
        <v>0</v>
      </c>
      <c r="X23" s="663"/>
      <c r="Y23" s="652">
        <f>SUM(Y9:Y22)</f>
        <v>-75906992</v>
      </c>
      <c r="Z23" s="644"/>
    </row>
    <row r="24" spans="1:27" ht="6" customHeight="1">
      <c r="A24" s="641"/>
      <c r="B24" s="642"/>
      <c r="C24" s="643"/>
      <c r="D24" s="643"/>
      <c r="E24" s="643"/>
      <c r="F24" s="643"/>
      <c r="G24" s="643"/>
      <c r="H24" s="643"/>
      <c r="I24" s="643"/>
      <c r="J24" s="655"/>
      <c r="K24" s="707"/>
      <c r="L24" s="707"/>
      <c r="M24" s="707"/>
      <c r="N24" s="707"/>
      <c r="O24" s="707"/>
      <c r="P24" s="707"/>
      <c r="Q24" s="707"/>
      <c r="R24" s="707"/>
      <c r="S24" s="707"/>
      <c r="T24" s="707"/>
      <c r="U24" s="657"/>
      <c r="V24" s="707"/>
      <c r="W24" s="657"/>
      <c r="X24" s="657"/>
      <c r="Y24" s="657"/>
      <c r="Z24" s="644"/>
    </row>
    <row r="25" spans="1:27" ht="15">
      <c r="A25" s="637" t="s">
        <v>476</v>
      </c>
      <c r="C25" s="646"/>
      <c r="D25" s="646"/>
      <c r="E25" s="646"/>
      <c r="F25" s="646"/>
      <c r="G25" s="646"/>
      <c r="H25" s="638"/>
      <c r="I25" s="646"/>
      <c r="J25" s="638"/>
      <c r="K25" s="657"/>
      <c r="L25" s="657"/>
      <c r="M25" s="657"/>
      <c r="N25" s="657"/>
      <c r="O25" s="657"/>
      <c r="P25" s="657"/>
      <c r="Q25" s="657"/>
      <c r="R25" s="657"/>
      <c r="S25" s="657"/>
      <c r="T25" s="657"/>
      <c r="U25" s="657" t="s">
        <v>554</v>
      </c>
      <c r="V25" s="657"/>
      <c r="W25" s="657"/>
      <c r="X25" s="657"/>
      <c r="Y25" s="657"/>
      <c r="Z25" s="644"/>
    </row>
    <row r="26" spans="1:27">
      <c r="A26" s="709" t="str">
        <f>Sites!A20</f>
        <v>1800 San Pablo</v>
      </c>
      <c r="C26" s="646">
        <f>SUMIF(Sites!$A:$A,$A26,Sites!$I:$I)</f>
        <v>44347</v>
      </c>
      <c r="D26" s="646"/>
      <c r="E26" s="646">
        <f>SUMIF(Sites!$A:$A,$A26,Sites!$BV:$BV)</f>
        <v>0</v>
      </c>
      <c r="F26" s="643"/>
      <c r="G26" s="646">
        <f>SUMIF(Sites!$A:$A,$A26,Sites!$BW:$BW)</f>
        <v>492</v>
      </c>
      <c r="H26" s="643"/>
      <c r="I26" s="643">
        <v>0</v>
      </c>
      <c r="J26" s="643"/>
      <c r="K26" s="644">
        <f>SUMIF(Sites!$A:$A,$A26,Sites!$AG:$AG)</f>
        <v>12195425</v>
      </c>
      <c r="L26" s="707"/>
      <c r="M26" s="644">
        <v>0</v>
      </c>
      <c r="N26" s="707"/>
      <c r="O26" s="644">
        <f>IF(I26&gt;0,K26*$C$45,K26*$C$44)</f>
        <v>9756340</v>
      </c>
      <c r="P26" s="707"/>
      <c r="Q26" s="644">
        <v>0</v>
      </c>
      <c r="R26" s="707"/>
      <c r="S26" s="644">
        <f>$G26*C$42</f>
        <v>10824000</v>
      </c>
      <c r="T26" s="707"/>
      <c r="U26" s="644">
        <f>SUM(M26:S26)</f>
        <v>20580340</v>
      </c>
      <c r="V26" s="707"/>
      <c r="W26" s="644">
        <f>SUMIF(Sites!$A:$A,$A26,Sites!$CD:$CD)-SUMIF(Sites!$A:$A,$A26,Sites!$CE:$CE)</f>
        <v>2439085</v>
      </c>
      <c r="X26" s="644"/>
      <c r="Y26" s="644">
        <f t="shared" ref="Y26" si="6">U26+W26</f>
        <v>23019425</v>
      </c>
      <c r="Z26" s="644">
        <f>SUMIF(Sites!$A:$A,$A26,Sites!$CH:$CH)</f>
        <v>20580340</v>
      </c>
      <c r="AA26" s="627" t="b">
        <f>U26=Z26</f>
        <v>1</v>
      </c>
    </row>
    <row r="27" spans="1:27" ht="15">
      <c r="A27" s="658" t="s">
        <v>555</v>
      </c>
      <c r="B27" s="659"/>
      <c r="C27" s="660">
        <f>SUM(C26:C26)</f>
        <v>44347</v>
      </c>
      <c r="D27" s="661"/>
      <c r="E27" s="650">
        <f>SUM(E26:E26)</f>
        <v>0</v>
      </c>
      <c r="F27" s="651"/>
      <c r="G27" s="650">
        <f>SUM(G26:G26)</f>
        <v>492</v>
      </c>
      <c r="H27" s="651"/>
      <c r="I27" s="650">
        <f>SUM(I26:I26)</f>
        <v>0</v>
      </c>
      <c r="J27" s="651"/>
      <c r="K27" s="652">
        <f>SUM(K26:K26)</f>
        <v>12195425</v>
      </c>
      <c r="L27" s="768"/>
      <c r="M27" s="652">
        <f>SUM(M26:M26)</f>
        <v>0</v>
      </c>
      <c r="N27" s="663"/>
      <c r="O27" s="652">
        <f>SUM(O26:O26)</f>
        <v>9756340</v>
      </c>
      <c r="P27" s="663"/>
      <c r="Q27" s="652">
        <f>SUM(Q26:Q26)</f>
        <v>0</v>
      </c>
      <c r="R27" s="663"/>
      <c r="S27" s="652">
        <f>SUM(S26:S26)</f>
        <v>10824000</v>
      </c>
      <c r="T27" s="663"/>
      <c r="U27" s="652">
        <f>SUM(U26:U26)</f>
        <v>20580340</v>
      </c>
      <c r="V27" s="663"/>
      <c r="W27" s="652">
        <f>SUM(W26:W26)</f>
        <v>2439085</v>
      </c>
      <c r="X27" s="663"/>
      <c r="Y27" s="652">
        <f>SUM(Y26:Y26)</f>
        <v>23019425</v>
      </c>
      <c r="Z27" s="644"/>
    </row>
    <row r="28" spans="1:27" ht="6" customHeight="1">
      <c r="A28" s="658"/>
      <c r="B28" s="659"/>
      <c r="C28" s="664"/>
      <c r="D28" s="661"/>
      <c r="E28" s="651"/>
      <c r="F28" s="651"/>
      <c r="G28" s="651"/>
      <c r="H28" s="665"/>
      <c r="I28" s="651"/>
      <c r="J28" s="665"/>
      <c r="K28" s="768"/>
      <c r="L28" s="768"/>
      <c r="M28" s="768"/>
      <c r="N28" s="768"/>
      <c r="O28" s="768"/>
      <c r="P28" s="768"/>
      <c r="Q28" s="768"/>
      <c r="R28" s="768"/>
      <c r="S28" s="768"/>
      <c r="T28" s="768"/>
      <c r="U28" s="710"/>
      <c r="V28" s="768"/>
      <c r="W28" s="710"/>
      <c r="X28" s="710"/>
      <c r="Y28" s="710"/>
      <c r="Z28" s="644"/>
    </row>
    <row r="29" spans="1:27" ht="15">
      <c r="A29" s="637" t="s">
        <v>409</v>
      </c>
      <c r="C29" s="646"/>
      <c r="D29" s="646"/>
      <c r="E29" s="646"/>
      <c r="F29" s="646"/>
      <c r="G29" s="646"/>
      <c r="H29" s="638"/>
      <c r="I29" s="646"/>
      <c r="J29" s="638"/>
      <c r="K29" s="657"/>
      <c r="L29" s="657"/>
      <c r="M29" s="657"/>
      <c r="N29" s="657"/>
      <c r="O29" s="657"/>
      <c r="P29" s="657"/>
      <c r="Q29" s="657"/>
      <c r="R29" s="657"/>
      <c r="S29" s="657"/>
      <c r="T29" s="657"/>
      <c r="U29" s="657"/>
      <c r="V29" s="657"/>
      <c r="W29" s="657"/>
      <c r="X29" s="657"/>
      <c r="Y29" s="657"/>
      <c r="Z29" s="644"/>
    </row>
    <row r="30" spans="1:27">
      <c r="A30" s="709" t="str">
        <f>Sites!A22</f>
        <v>Clay St Garage</v>
      </c>
      <c r="C30" s="646">
        <f>SUMIF(Sites!$A:$A,$A30,Sites!$I:$I)</f>
        <v>29000</v>
      </c>
      <c r="D30" s="646"/>
      <c r="E30" s="646">
        <f>SUMIF(Sites!$A:$A,$A30,Sites!$BV:$BV)</f>
        <v>0</v>
      </c>
      <c r="F30" s="643"/>
      <c r="G30" s="646">
        <f>SUMIF(Sites!$A:$A,$A30,Sites!$BW:$BW)</f>
        <v>0</v>
      </c>
      <c r="H30" s="643"/>
      <c r="I30" s="666">
        <f>SUMIF(Sites!$A:$A,$A30,Sites!$J:$J)+SUMIF(Sites!$A:$A,$A30,Sites!$M:$M)</f>
        <v>130400</v>
      </c>
      <c r="J30" s="667"/>
      <c r="K30" s="644">
        <f>SUMIF(Sites!$A:$A,$A30,Sites!$AG:$AG)</f>
        <v>6525000</v>
      </c>
      <c r="L30" s="707"/>
      <c r="M30" s="644">
        <v>0</v>
      </c>
      <c r="N30" s="707"/>
      <c r="O30" s="644">
        <f>IF(I30&gt;0,K30*$C$45,K30*$C$44)</f>
        <v>2610000</v>
      </c>
      <c r="P30" s="707"/>
      <c r="Q30" s="644">
        <f>IF(I30&gt;25000,(I30-25000),0)*6</f>
        <v>632400</v>
      </c>
      <c r="R30" s="707"/>
      <c r="S30" s="644">
        <f>$G30*C$42</f>
        <v>0</v>
      </c>
      <c r="T30" s="707"/>
      <c r="U30" s="644">
        <f>SUM(M30:S30)</f>
        <v>3242400</v>
      </c>
      <c r="V30" s="707"/>
      <c r="W30" s="644">
        <f>SUMIF(Sites!$A:$A,$A30,Sites!$CD:$CD)-SUMIF(Sites!$A:$A,$A30,Sites!$CE:$CE)</f>
        <v>3915000</v>
      </c>
      <c r="X30" s="644"/>
      <c r="Y30" s="644">
        <f t="shared" ref="Y30:Y34" si="7">U30+W30</f>
        <v>7157400</v>
      </c>
      <c r="Z30" s="644">
        <f>SUMIF(Sites!$A:$A,$A30,Sites!$CH:$CH)</f>
        <v>3242400</v>
      </c>
      <c r="AA30" s="627" t="b">
        <f>U30=Z30</f>
        <v>1</v>
      </c>
    </row>
    <row r="31" spans="1:27">
      <c r="A31" s="709" t="str">
        <f>Sites!A23</f>
        <v>1911 Telegraph</v>
      </c>
      <c r="C31" s="646">
        <f>SUMIF(Sites!$A:$A,$A31,Sites!$I:$I)</f>
        <v>45121</v>
      </c>
      <c r="D31" s="646"/>
      <c r="E31" s="646">
        <f>SUMIF(Sites!$A:$A,$A31,Sites!$BV:$BV)</f>
        <v>0</v>
      </c>
      <c r="F31" s="643"/>
      <c r="G31" s="646">
        <f>SUMIF(Sites!$A:$A,$A31,Sites!$BW:$BW)</f>
        <v>0</v>
      </c>
      <c r="H31" s="643"/>
      <c r="I31" s="666">
        <f>SUMIF(Sites!$A:$A,$A31,Sites!$J:$J)+SUMIF(Sites!$A:$A,$A31,Sites!$M:$M)</f>
        <v>902420</v>
      </c>
      <c r="J31" s="667"/>
      <c r="K31" s="644">
        <f>SUMIF(Sites!$A:$A,$A31,Sites!$AG:$AG)</f>
        <v>14664325</v>
      </c>
      <c r="L31" s="707"/>
      <c r="M31" s="644">
        <v>0</v>
      </c>
      <c r="N31" s="707"/>
      <c r="O31" s="644">
        <f>IF(I31&gt;0,K31*$C$45,K31*$C$44)</f>
        <v>5865730</v>
      </c>
      <c r="P31" s="707"/>
      <c r="Q31" s="644">
        <f>IF(I31&gt;25000,(I31-25000),0)*6</f>
        <v>5264520</v>
      </c>
      <c r="R31" s="707"/>
      <c r="S31" s="644">
        <f>$G31*C$42</f>
        <v>0</v>
      </c>
      <c r="T31" s="707"/>
      <c r="U31" s="644">
        <f>SUM(M31:S31)</f>
        <v>11130250</v>
      </c>
      <c r="V31" s="707"/>
      <c r="W31" s="644">
        <f>SUMIF(Sites!$A:$A,$A31,Sites!$CD:$CD)-SUMIF(Sites!$A:$A,$A31,Sites!$CE:$CE)</f>
        <v>8798595</v>
      </c>
      <c r="X31" s="644"/>
      <c r="Y31" s="644">
        <f t="shared" si="7"/>
        <v>19928845</v>
      </c>
      <c r="Z31" s="644">
        <f>SUMIF(Sites!$A:$A,$A31,Sites!$CH:$CH)</f>
        <v>11130250</v>
      </c>
      <c r="AA31" s="627" t="b">
        <f>U31=Z31</f>
        <v>1</v>
      </c>
    </row>
    <row r="32" spans="1:27">
      <c r="A32" s="709" t="str">
        <f>Sites!A24</f>
        <v>Fire Alarm Bldg</v>
      </c>
      <c r="C32" s="646">
        <f>SUMIF(Sites!$A:$A,$A32,Sites!$I:$I)</f>
        <v>31031</v>
      </c>
      <c r="D32" s="646"/>
      <c r="E32" s="646">
        <f>SUMIF(Sites!$A:$A,$A32,Sites!$BV:$BV)</f>
        <v>0</v>
      </c>
      <c r="F32" s="643"/>
      <c r="G32" s="646">
        <f>SUMIF(Sites!$A:$A,$A32,Sites!$BW:$BW)</f>
        <v>0</v>
      </c>
      <c r="H32" s="643"/>
      <c r="I32" s="666">
        <f>SUMIF(Sites!$A:$A,$A32,Sites!$J:$J)+SUMIF(Sites!$A:$A,$A32,Sites!$M:$M)</f>
        <v>93093</v>
      </c>
      <c r="J32" s="667"/>
      <c r="K32" s="644">
        <f>SUMIF(Sites!$A:$A,$A32,Sites!$AG:$AG)</f>
        <v>6981975</v>
      </c>
      <c r="L32" s="707"/>
      <c r="M32" s="644">
        <v>0</v>
      </c>
      <c r="N32" s="707"/>
      <c r="O32" s="644">
        <f>IF(I32&gt;0,K32*$C$45,K32*$C$44)</f>
        <v>2792790</v>
      </c>
      <c r="P32" s="707"/>
      <c r="Q32" s="644">
        <f>IF(I32&gt;25000,(I32-25000),0)*6</f>
        <v>408558</v>
      </c>
      <c r="R32" s="707"/>
      <c r="S32" s="644">
        <f>$G32*C$42</f>
        <v>0</v>
      </c>
      <c r="T32" s="707"/>
      <c r="U32" s="644">
        <f>SUM(M32:S32)</f>
        <v>3201348</v>
      </c>
      <c r="V32" s="707"/>
      <c r="W32" s="644">
        <f>SUMIF(Sites!$A:$A,$A32,Sites!$CD:$CD)-SUMIF(Sites!$A:$A,$A32,Sites!$CE:$CE)</f>
        <v>4189185</v>
      </c>
      <c r="X32" s="644"/>
      <c r="Y32" s="644">
        <f t="shared" si="7"/>
        <v>7390533</v>
      </c>
      <c r="Z32" s="644">
        <f>SUMIF(Sites!$A:$A,$A32,Sites!$CH:$CH)</f>
        <v>3201348</v>
      </c>
      <c r="AA32" s="627" t="b">
        <f>U32=Z32</f>
        <v>1</v>
      </c>
    </row>
    <row r="33" spans="1:27">
      <c r="A33" s="709" t="str">
        <f>Sites!A25</f>
        <v>Old Fire Station #24</v>
      </c>
      <c r="C33" s="646">
        <f>SUMIF(Sites!$A:$A,$A33,Sites!$I:$I)</f>
        <v>39535</v>
      </c>
      <c r="D33" s="646"/>
      <c r="E33" s="646">
        <f>SUMIF(Sites!$A:$A,$A33,Sites!$BV:$BV)</f>
        <v>0</v>
      </c>
      <c r="F33" s="643"/>
      <c r="G33" s="646">
        <f>SUMIF(Sites!$A:$A,$A33,Sites!$BW:$BW)</f>
        <v>0</v>
      </c>
      <c r="H33" s="643"/>
      <c r="I33" s="666">
        <f>SUMIF(Sites!$A:$A,$A33,Sites!$J:$J)+SUMIF(Sites!$A:$A,$A33,Sites!$M:$M)</f>
        <v>20000</v>
      </c>
      <c r="J33" s="667"/>
      <c r="K33" s="644">
        <f>SUMIF(Sites!$A:$A,$A33,Sites!$AG:$AG)</f>
        <v>1250000</v>
      </c>
      <c r="L33" s="707"/>
      <c r="M33" s="644">
        <v>0</v>
      </c>
      <c r="N33" s="707"/>
      <c r="O33" s="644">
        <f>IF(I33&gt;0,K33*$C$45,K33*$C$44)</f>
        <v>500000</v>
      </c>
      <c r="P33" s="707"/>
      <c r="Q33" s="644">
        <f>IF(I33&gt;25000,(I33-25000),0)*6</f>
        <v>0</v>
      </c>
      <c r="R33" s="707"/>
      <c r="S33" s="644">
        <f>$G33*C$42</f>
        <v>0</v>
      </c>
      <c r="T33" s="707"/>
      <c r="U33" s="644">
        <f>SUM(M33:S33)</f>
        <v>500000</v>
      </c>
      <c r="V33" s="707"/>
      <c r="W33" s="644">
        <f>SUMIF(Sites!$A:$A,$A33,Sites!$CD:$CD)-SUMIF(Sites!$A:$A,$A33,Sites!$CE:$CE)</f>
        <v>750000</v>
      </c>
      <c r="X33" s="644"/>
      <c r="Y33" s="644">
        <f t="shared" si="7"/>
        <v>1250000</v>
      </c>
      <c r="Z33" s="644">
        <f>SUMIF(Sites!$A:$A,$A33,Sites!$CH:$CH)</f>
        <v>500000</v>
      </c>
      <c r="AA33" s="627" t="b">
        <f>U33=Z33</f>
        <v>1</v>
      </c>
    </row>
    <row r="34" spans="1:27">
      <c r="A34" s="709" t="str">
        <f>Sites!A26</f>
        <v xml:space="preserve">66th &amp; San Leandro </v>
      </c>
      <c r="C34" s="646">
        <f>SUMIF(Sites!$A:$A,$A34,Sites!$I:$I)</f>
        <v>274428</v>
      </c>
      <c r="D34" s="646"/>
      <c r="E34" s="646">
        <f>SUMIF(Sites!$A:$A,$A34,Sites!$BV:$BV)</f>
        <v>0</v>
      </c>
      <c r="F34" s="643"/>
      <c r="G34" s="646">
        <f>SUMIF(Sites!$A:$A,$A34,Sites!$BW:$BW)</f>
        <v>0</v>
      </c>
      <c r="H34" s="643"/>
      <c r="I34" s="666">
        <f>SUMIF(Sites!$A:$A,$A34,Sites!$J:$J)+SUMIF(Sites!$A:$A,$A34,Sites!$M:$M)</f>
        <v>274428</v>
      </c>
      <c r="J34" s="667"/>
      <c r="K34" s="644">
        <f>SUMIF(Sites!$A:$A,$A34,Sites!$AG:$AG)</f>
        <v>9604980</v>
      </c>
      <c r="L34" s="707"/>
      <c r="M34" s="644">
        <v>0</v>
      </c>
      <c r="N34" s="707"/>
      <c r="O34" s="644">
        <f>IF(I34&gt;0,K34*$C$45,K34*$C$44)</f>
        <v>3841992</v>
      </c>
      <c r="P34" s="707"/>
      <c r="Q34" s="644">
        <f>IF(I34&gt;25000,(I34-25000),0)*6</f>
        <v>1496568</v>
      </c>
      <c r="R34" s="707"/>
      <c r="S34" s="644">
        <f>$G34*C$42</f>
        <v>0</v>
      </c>
      <c r="T34" s="707"/>
      <c r="U34" s="644">
        <f>SUM(M34:S34)</f>
        <v>5338560</v>
      </c>
      <c r="V34" s="707"/>
      <c r="W34" s="644">
        <f>SUMIF(Sites!$A:$A,$A34,Sites!$CD:$CD)-SUMIF(Sites!$A:$A,$A34,Sites!$CE:$CE)</f>
        <v>5762988</v>
      </c>
      <c r="X34" s="644"/>
      <c r="Y34" s="644">
        <f t="shared" si="7"/>
        <v>11101548</v>
      </c>
      <c r="Z34" s="644">
        <f>SUMIF(Sites!$A:$A,$A34,Sites!$CH:$CH)</f>
        <v>5338560</v>
      </c>
      <c r="AA34" s="627" t="b">
        <f>U34=Z34</f>
        <v>1</v>
      </c>
    </row>
    <row r="35" spans="1:27" ht="15">
      <c r="A35" s="637" t="s">
        <v>556</v>
      </c>
      <c r="B35" s="659"/>
      <c r="C35" s="660">
        <f>SUM(C30:C34)</f>
        <v>419115</v>
      </c>
      <c r="D35" s="664"/>
      <c r="E35" s="650">
        <f>SUM(E30:E34)</f>
        <v>0</v>
      </c>
      <c r="F35" s="664"/>
      <c r="G35" s="650">
        <f>SUM(G30:G34)</f>
        <v>0</v>
      </c>
      <c r="H35" s="651"/>
      <c r="I35" s="668">
        <f>SUM(I30:I34)</f>
        <v>1420341</v>
      </c>
      <c r="J35" s="669"/>
      <c r="K35" s="652">
        <f>SUM(K30:K34)</f>
        <v>39026280</v>
      </c>
      <c r="L35" s="768"/>
      <c r="M35" s="652">
        <f>SUM(M30:M34)</f>
        <v>0</v>
      </c>
      <c r="N35" s="768"/>
      <c r="O35" s="652">
        <f>SUM(O30:O34)</f>
        <v>15610512</v>
      </c>
      <c r="P35" s="768"/>
      <c r="Q35" s="652">
        <f>SUM(Q30:Q34)</f>
        <v>7802046</v>
      </c>
      <c r="R35" s="768"/>
      <c r="S35" s="652">
        <f>SUM(S30:S34)</f>
        <v>0</v>
      </c>
      <c r="T35" s="768"/>
      <c r="U35" s="652">
        <f>SUM(U30:U34)</f>
        <v>23412558</v>
      </c>
      <c r="V35" s="768"/>
      <c r="W35" s="652">
        <f>SUM(W30:W34)</f>
        <v>23415768</v>
      </c>
      <c r="X35" s="663"/>
      <c r="Y35" s="652">
        <f>SUM(Y30:Y34)</f>
        <v>46828326</v>
      </c>
      <c r="Z35" s="644"/>
    </row>
    <row r="36" spans="1:27" ht="6" customHeight="1">
      <c r="B36" s="670"/>
      <c r="C36" s="646"/>
      <c r="D36" s="646"/>
      <c r="E36" s="646"/>
      <c r="F36" s="646"/>
      <c r="G36" s="646"/>
      <c r="H36" s="638"/>
      <c r="I36" s="646"/>
      <c r="J36" s="638"/>
      <c r="K36" s="657"/>
      <c r="L36" s="657"/>
      <c r="M36" s="657"/>
      <c r="N36" s="657"/>
      <c r="O36" s="657"/>
      <c r="P36" s="657"/>
      <c r="Q36" s="657"/>
      <c r="R36" s="657"/>
      <c r="S36" s="657"/>
      <c r="T36" s="657"/>
      <c r="U36" s="657"/>
      <c r="V36" s="657"/>
      <c r="W36" s="657"/>
      <c r="X36" s="657"/>
      <c r="Y36" s="657"/>
      <c r="Z36" s="644"/>
    </row>
    <row r="37" spans="1:27" ht="15">
      <c r="A37" s="659" t="s">
        <v>483</v>
      </c>
      <c r="B37" s="671"/>
      <c r="C37" s="660">
        <f>C23+C27+C35</f>
        <v>1064066</v>
      </c>
      <c r="D37" s="664"/>
      <c r="E37" s="660">
        <f>E23+E27+E35</f>
        <v>746</v>
      </c>
      <c r="F37" s="661"/>
      <c r="G37" s="660">
        <f>G23+G27+G35</f>
        <v>492</v>
      </c>
      <c r="H37" s="672"/>
      <c r="I37" s="660">
        <f>I23+I27+I35</f>
        <v>1420341</v>
      </c>
      <c r="J37" s="672"/>
      <c r="K37" s="652">
        <f>SUM(K23,K27,K35)</f>
        <v>93298165</v>
      </c>
      <c r="L37" s="710"/>
      <c r="M37" s="652">
        <f>M23+M27+M35</f>
        <v>-75906992</v>
      </c>
      <c r="N37" s="772"/>
      <c r="O37" s="652">
        <f>O23+O27+O35</f>
        <v>25366852</v>
      </c>
      <c r="P37" s="772"/>
      <c r="Q37" s="652">
        <f>Q23+Q27+Q35</f>
        <v>7802046</v>
      </c>
      <c r="R37" s="772"/>
      <c r="S37" s="652">
        <f>S23+S27+S35</f>
        <v>10824000</v>
      </c>
      <c r="T37" s="772"/>
      <c r="U37" s="652">
        <f>U23+U27+U35</f>
        <v>-31914094</v>
      </c>
      <c r="V37" s="772"/>
      <c r="W37" s="652">
        <f>W23+W27+W35</f>
        <v>25854853</v>
      </c>
      <c r="X37" s="663"/>
      <c r="Y37" s="652">
        <f>Y23+Y27+Y35</f>
        <v>-6059241</v>
      </c>
      <c r="Z37" s="644" t="b">
        <f>U37=Summary!K23</f>
        <v>1</v>
      </c>
      <c r="AA37" s="627" t="b">
        <f>Y37=Summary!K30</f>
        <v>1</v>
      </c>
    </row>
    <row r="38" spans="1:27" ht="6" customHeight="1">
      <c r="A38" s="659"/>
      <c r="B38" s="671"/>
      <c r="C38" s="664"/>
      <c r="D38" s="664"/>
      <c r="E38" s="664"/>
      <c r="F38" s="661"/>
      <c r="G38" s="664"/>
      <c r="H38" s="672"/>
      <c r="I38" s="664"/>
      <c r="J38" s="672"/>
      <c r="K38" s="663"/>
      <c r="L38" s="674"/>
      <c r="M38" s="663"/>
      <c r="N38" s="673"/>
      <c r="O38" s="663"/>
      <c r="P38" s="673"/>
      <c r="Q38" s="663"/>
      <c r="R38" s="673"/>
      <c r="S38" s="663"/>
      <c r="T38" s="673"/>
      <c r="U38" s="663"/>
      <c r="V38" s="673"/>
      <c r="W38" s="663"/>
      <c r="X38" s="663"/>
      <c r="Y38" s="663"/>
    </row>
    <row r="39" spans="1:27" ht="15">
      <c r="A39" s="659" t="s">
        <v>557</v>
      </c>
      <c r="B39" s="671"/>
      <c r="C39" s="664"/>
      <c r="D39" s="664"/>
      <c r="E39" s="664"/>
      <c r="F39" s="661"/>
      <c r="G39" s="664"/>
      <c r="H39" s="672"/>
      <c r="I39" s="664"/>
      <c r="J39" s="672"/>
      <c r="K39" s="663"/>
      <c r="L39" s="674"/>
      <c r="M39" s="663"/>
      <c r="N39" s="673"/>
      <c r="O39" s="663"/>
      <c r="P39" s="673"/>
      <c r="Q39" s="663"/>
      <c r="R39" s="673"/>
      <c r="S39" s="663"/>
      <c r="T39" s="673"/>
      <c r="V39" s="673"/>
      <c r="W39" s="675">
        <f>E37/SUM(E37:G37)</f>
        <v>0.60258481421647814</v>
      </c>
      <c r="X39" s="675"/>
      <c r="Y39" s="675"/>
    </row>
    <row r="40" spans="1:27" ht="6" customHeight="1">
      <c r="B40" s="670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R40" s="638"/>
      <c r="S40" s="638"/>
      <c r="T40" s="638"/>
      <c r="V40" s="638"/>
    </row>
    <row r="41" spans="1:27" ht="15">
      <c r="A41" s="676" t="s">
        <v>558</v>
      </c>
      <c r="B41" s="677"/>
      <c r="C41" s="678"/>
      <c r="D41" s="679"/>
      <c r="E41" s="678"/>
      <c r="F41" s="678"/>
      <c r="G41" s="678"/>
      <c r="H41" s="678"/>
      <c r="I41" s="678"/>
      <c r="J41" s="678"/>
      <c r="K41" s="678"/>
      <c r="L41" s="678"/>
      <c r="M41" s="678"/>
      <c r="N41" s="678"/>
      <c r="O41" s="678"/>
      <c r="P41" s="678"/>
      <c r="Q41" s="678"/>
      <c r="R41" s="678"/>
      <c r="S41" s="678"/>
      <c r="T41" s="678"/>
      <c r="U41" s="679"/>
      <c r="V41" s="678"/>
      <c r="W41" s="679"/>
    </row>
    <row r="42" spans="1:27" ht="15">
      <c r="A42" s="627" t="s">
        <v>559</v>
      </c>
      <c r="B42" s="670"/>
      <c r="C42" s="680">
        <v>22000</v>
      </c>
      <c r="E42" s="706"/>
      <c r="F42" s="638"/>
      <c r="H42" s="638"/>
      <c r="I42" s="638"/>
      <c r="J42" s="638"/>
      <c r="K42" s="638"/>
      <c r="L42" s="638"/>
      <c r="M42" s="638"/>
      <c r="N42" s="638"/>
      <c r="O42" s="638"/>
      <c r="P42" s="638"/>
      <c r="Q42" s="638"/>
      <c r="R42" s="638"/>
      <c r="S42" s="638"/>
      <c r="T42" s="638"/>
      <c r="V42" s="638"/>
    </row>
    <row r="43" spans="1:27" ht="15">
      <c r="A43" s="627" t="s">
        <v>657</v>
      </c>
      <c r="B43" s="670"/>
      <c r="C43" s="680">
        <f>ROUND(125000-'NOFA Budget'!$M$13,0)</f>
        <v>101752</v>
      </c>
      <c r="E43" s="681"/>
      <c r="F43" s="638"/>
      <c r="G43" s="638"/>
      <c r="H43" s="638"/>
      <c r="I43" s="638"/>
      <c r="J43" s="638"/>
      <c r="K43" s="638"/>
      <c r="L43" s="638"/>
      <c r="M43" s="638"/>
      <c r="N43" s="638"/>
      <c r="O43" s="638"/>
      <c r="P43" s="638"/>
      <c r="Q43" s="638"/>
      <c r="R43" s="638"/>
      <c r="S43" s="638"/>
      <c r="T43" s="638"/>
      <c r="V43" s="638"/>
    </row>
    <row r="44" spans="1:27" ht="15">
      <c r="A44" s="627" t="s">
        <v>647</v>
      </c>
      <c r="B44" s="670"/>
      <c r="C44" s="683">
        <v>0.8</v>
      </c>
      <c r="E44" s="681"/>
      <c r="F44" s="638"/>
      <c r="G44" s="638"/>
      <c r="H44" s="638"/>
      <c r="I44" s="638"/>
      <c r="J44" s="638"/>
      <c r="K44" s="638"/>
      <c r="L44" s="638"/>
      <c r="M44" s="638"/>
      <c r="N44" s="638"/>
      <c r="O44" s="638"/>
      <c r="P44" s="638"/>
      <c r="Q44" s="638"/>
      <c r="R44" s="638"/>
      <c r="S44" s="638"/>
      <c r="T44" s="638"/>
      <c r="V44" s="638"/>
    </row>
    <row r="45" spans="1:27" ht="15">
      <c r="A45" s="627" t="s">
        <v>648</v>
      </c>
      <c r="B45" s="670"/>
      <c r="C45" s="683">
        <v>0.4</v>
      </c>
      <c r="E45" s="681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V45" s="638"/>
    </row>
    <row r="46" spans="1:27" ht="6" customHeight="1">
      <c r="B46" s="670"/>
      <c r="C46" s="684"/>
      <c r="E46" s="638"/>
      <c r="F46" s="638"/>
      <c r="G46" s="638"/>
      <c r="H46" s="638"/>
      <c r="I46" s="638"/>
      <c r="J46" s="638"/>
      <c r="K46" s="638"/>
      <c r="L46" s="638"/>
      <c r="M46" s="638"/>
      <c r="N46" s="638"/>
      <c r="O46" s="638"/>
      <c r="P46" s="638"/>
      <c r="Q46" s="638"/>
      <c r="R46" s="638"/>
      <c r="S46" s="638"/>
      <c r="T46" s="638"/>
      <c r="V46" s="638"/>
    </row>
    <row r="47" spans="1:27" ht="15">
      <c r="A47" s="659" t="s">
        <v>562</v>
      </c>
      <c r="B47" s="670"/>
      <c r="E47" s="638"/>
      <c r="F47" s="638"/>
      <c r="G47" s="638"/>
      <c r="H47" s="638"/>
      <c r="I47" s="638"/>
      <c r="J47" s="638"/>
      <c r="K47" s="638"/>
      <c r="L47" s="638"/>
      <c r="M47" s="638"/>
      <c r="N47" s="638"/>
      <c r="O47" s="638"/>
      <c r="P47" s="638"/>
      <c r="Q47" s="638"/>
      <c r="R47" s="638"/>
      <c r="S47" s="638"/>
      <c r="T47" s="638"/>
      <c r="V47" s="638"/>
    </row>
    <row r="48" spans="1:27">
      <c r="A48" s="627" t="s">
        <v>670</v>
      </c>
      <c r="B48" s="670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8"/>
      <c r="T48" s="638"/>
      <c r="V48" s="638"/>
    </row>
    <row r="49" spans="1:25">
      <c r="B49" s="670"/>
      <c r="C49" s="627"/>
      <c r="E49" s="638"/>
      <c r="F49" s="638"/>
      <c r="G49" s="638"/>
      <c r="H49" s="638"/>
      <c r="I49" s="638"/>
      <c r="J49" s="638"/>
      <c r="K49" s="638"/>
      <c r="L49" s="638"/>
      <c r="M49" s="638"/>
      <c r="N49" s="638"/>
      <c r="O49" s="638"/>
      <c r="P49" s="638"/>
      <c r="Q49" s="638"/>
      <c r="R49" s="638"/>
      <c r="S49" s="638"/>
      <c r="T49" s="638"/>
      <c r="V49" s="638"/>
    </row>
    <row r="50" spans="1:25">
      <c r="A50" s="670"/>
      <c r="B50" s="670"/>
      <c r="D50" s="685"/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V50" s="638"/>
    </row>
    <row r="51" spans="1:25">
      <c r="A51" s="670"/>
      <c r="B51" s="670"/>
      <c r="D51" s="685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V51" s="638"/>
    </row>
    <row r="52" spans="1:25">
      <c r="A52" s="670"/>
      <c r="B52" s="670"/>
      <c r="D52" s="685"/>
      <c r="E52" s="638"/>
      <c r="F52" s="638"/>
      <c r="G52" s="638"/>
      <c r="H52" s="638"/>
      <c r="I52" s="638"/>
      <c r="J52" s="638"/>
      <c r="K52" s="638"/>
      <c r="L52" s="638"/>
      <c r="M52" s="638"/>
      <c r="N52" s="638"/>
      <c r="O52" s="638"/>
      <c r="P52" s="638"/>
      <c r="Q52" s="638"/>
      <c r="R52" s="638"/>
      <c r="S52" s="638"/>
      <c r="T52" s="638"/>
      <c r="V52" s="638"/>
    </row>
    <row r="53" spans="1:25">
      <c r="A53" s="641" t="s">
        <v>19</v>
      </c>
      <c r="B53" s="642"/>
      <c r="C53" s="643">
        <v>28802</v>
      </c>
      <c r="D53" s="643"/>
      <c r="E53" s="643">
        <v>43</v>
      </c>
      <c r="F53" s="643"/>
      <c r="G53" s="643">
        <v>0</v>
      </c>
      <c r="H53" s="643"/>
      <c r="I53" s="643">
        <v>0</v>
      </c>
      <c r="J53" s="643"/>
      <c r="K53" s="644">
        <v>1296090</v>
      </c>
      <c r="L53" s="643"/>
      <c r="M53" s="644">
        <f>-C$43*$E53</f>
        <v>-4375336</v>
      </c>
      <c r="N53" s="643"/>
      <c r="O53" s="644">
        <v>0</v>
      </c>
      <c r="P53" s="643"/>
      <c r="Q53" s="644">
        <v>0</v>
      </c>
      <c r="R53" s="643"/>
      <c r="S53" s="644">
        <v>0</v>
      </c>
      <c r="T53" s="643"/>
      <c r="U53" s="644">
        <f>SUM(M53:S53)</f>
        <v>-4375336</v>
      </c>
      <c r="V53" s="643"/>
      <c r="W53" s="644"/>
      <c r="X53" s="644"/>
      <c r="Y53" s="644"/>
    </row>
    <row r="54" spans="1:25">
      <c r="A54" s="641" t="s">
        <v>377</v>
      </c>
      <c r="B54" s="642"/>
      <c r="C54" s="643">
        <v>32484</v>
      </c>
      <c r="D54" s="643"/>
      <c r="E54" s="643">
        <v>75</v>
      </c>
      <c r="F54" s="643"/>
      <c r="G54" s="643">
        <v>0</v>
      </c>
      <c r="H54" s="643"/>
      <c r="I54" s="643">
        <v>0</v>
      </c>
      <c r="J54" s="643"/>
      <c r="K54" s="644">
        <v>2923560</v>
      </c>
      <c r="L54" s="643"/>
      <c r="M54" s="644">
        <f>-C$43*$E54</f>
        <v>-7631400</v>
      </c>
      <c r="N54" s="643"/>
      <c r="O54" s="644">
        <v>0</v>
      </c>
      <c r="P54" s="643"/>
      <c r="Q54" s="644">
        <v>0</v>
      </c>
      <c r="R54" s="643"/>
      <c r="S54" s="644">
        <v>0</v>
      </c>
      <c r="T54" s="643"/>
      <c r="U54" s="644">
        <f>SUM(M54:S54)</f>
        <v>-7631400</v>
      </c>
      <c r="V54" s="643"/>
      <c r="W54" s="644"/>
      <c r="X54" s="644"/>
      <c r="Y54" s="644"/>
    </row>
    <row r="56" spans="1:25" ht="15">
      <c r="A56" s="627" t="s">
        <v>560</v>
      </c>
      <c r="B56" s="670"/>
      <c r="C56" s="682">
        <v>66200</v>
      </c>
      <c r="E56" s="681"/>
      <c r="F56" s="638"/>
      <c r="G56" s="638"/>
      <c r="H56" s="638"/>
      <c r="I56" s="638"/>
      <c r="J56" s="638"/>
      <c r="K56" s="638"/>
      <c r="L56" s="638"/>
      <c r="M56" s="638"/>
      <c r="N56" s="638"/>
      <c r="O56" s="638"/>
      <c r="P56" s="638"/>
      <c r="Q56" s="638"/>
      <c r="R56" s="638"/>
      <c r="S56" s="638"/>
      <c r="T56" s="638"/>
      <c r="V56" s="638"/>
    </row>
    <row r="57" spans="1:25" ht="15">
      <c r="A57" s="627" t="s">
        <v>561</v>
      </c>
      <c r="B57" s="670"/>
      <c r="C57" s="682">
        <f>MROUND(33684.96,100)</f>
        <v>33700</v>
      </c>
      <c r="E57" s="681"/>
      <c r="F57" s="638"/>
      <c r="G57" s="638"/>
      <c r="H57" s="638"/>
      <c r="I57" s="638"/>
      <c r="J57" s="638"/>
      <c r="K57" s="638"/>
      <c r="L57" s="638"/>
      <c r="M57" s="638"/>
      <c r="N57" s="638"/>
      <c r="O57" s="638"/>
      <c r="P57" s="638"/>
      <c r="Q57" s="638"/>
      <c r="R57" s="638"/>
      <c r="S57" s="638"/>
      <c r="T57" s="638"/>
      <c r="V57" s="638"/>
    </row>
  </sheetData>
  <sheetProtection algorithmName="SHA-512" hashValue="3QASlidZeE8OU0RI6QrUvqX9or9/JqRfRs2NAHhgZWykliV0czzYVlOrkLSRG4nP+zWyR4lT6NdmnzB4qv9lGg==" saltValue="eLbf2GaHc7zo132a+DnP7w==" spinCount="100000" sheet="1" objects="1" scenarios="1"/>
  <customSheetViews>
    <customSheetView guid="{12DF92E2-F0A4-4522-953F-2BCAD962F9B1}" showPageBreaks="1" showGridLines="0" fitToPage="1" printArea="1" hiddenColumns="1" view="pageBreakPreview">
      <pane xSplit="1" ySplit="4" topLeftCell="C5" activePane="bottomRight" state="frozen"/>
      <selection pane="bottomRight" activeCell="A36" sqref="A36:XFD36"/>
      <pageMargins left="0.5" right="0.5" top="0.5" bottom="0.5" header="0.3" footer="0.3"/>
      <printOptions horizontalCentered="1"/>
      <pageSetup orientation="landscape" horizontalDpi="300" verticalDpi="300" r:id="rId1"/>
    </customSheetView>
    <customSheetView guid="{CDF0923A-CEB9-47A0-BB71-B372AD18A6C5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68" orientation="landscape" horizontalDpi="300" verticalDpi="300" r:id="rId2"/>
    </customSheetView>
    <customSheetView guid="{1CB7F20C-5BCB-4F31-A665-EF07F93D0225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68" orientation="landscape" horizontalDpi="300" verticalDpi="300" r:id="rId3"/>
    </customSheetView>
    <customSheetView guid="{A3C5269A-712A-445D-A52D-32C4B0B08868}" showPageBreaks="1" showGridLines="0" fitToPage="1" printArea="1" hiddenColumns="1" view="pageBreakPreview">
      <pane xSplit="1" ySplit="4" topLeftCell="C5" activePane="bottomRight" state="frozen"/>
      <selection pane="bottomRight" activeCell="X4" sqref="X4"/>
      <pageMargins left="0.5" right="0.5" top="0.5" bottom="0.5" header="0.3" footer="0.3"/>
      <printOptions horizontalCentered="1"/>
      <pageSetup orientation="landscape" horizontalDpi="300" verticalDpi="300" r:id="rId4"/>
    </customSheetView>
    <customSheetView guid="{D2801948-3667-42F1-A855-2C3A7F5D75C1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68" orientation="landscape" horizontalDpi="300" verticalDpi="300" r:id="rId5"/>
    </customSheetView>
    <customSheetView guid="{6B8B0E6B-B6D7-44A4-A1E7-F92938C31FF1}" showPageBreaks="1" showGridLines="0" fitToPage="1" printArea="1" hiddenColumns="1" view="pageBreakPreview">
      <pane xSplit="1" ySplit="4" topLeftCell="C5" activePane="bottomRight" state="frozen"/>
      <selection pane="bottomRight" activeCell="U4" sqref="U4"/>
      <pageMargins left="0.5" right="0.5" top="0.5" bottom="0.5" header="0.3" footer="0.3"/>
      <printOptions horizontalCentered="1"/>
      <pageSetup orientation="landscape" horizontalDpi="300" verticalDpi="300" r:id="rId6"/>
    </customSheetView>
    <customSheetView guid="{E6F23B71-2871-41D0-8B3E-C5A92D17DA9C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68" orientation="landscape" horizontalDpi="300" verticalDpi="300" r:id="rId7"/>
    </customSheetView>
    <customSheetView guid="{3D995FFA-456E-4A0A-AF78-CD5180B1C163}" showPageBreaks="1" showGridLines="0" fitToPage="1" printArea="1" view="pageBreakPreview">
      <pane xSplit="2" ySplit="4" topLeftCell="C5" activePane="bottomRight" state="frozen"/>
      <selection pane="bottomRight" activeCell="A29" sqref="A29"/>
      <pageMargins left="0.5" right="0.5" top="0.5" bottom="0.5" header="0.3" footer="0.3"/>
      <pageSetup scale="77" orientation="landscape" r:id="rId8"/>
    </customSheetView>
    <customSheetView guid="{F7AAF2C2-30F8-4A4D-9DCA-2CE431E237EF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77" orientation="landscape" horizontalDpi="300" verticalDpi="300" r:id="rId9"/>
      <headerFooter>
        <oddHeader>&amp;C&amp;16Attachment C: Summary Tables of Affordable Housing Outcomes Under Various Development Scenarios</oddHeader>
      </headerFooter>
    </customSheetView>
    <customSheetView guid="{CF016ED8-8B91-4622-8F1B-C12FD046BBA3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77" orientation="landscape" horizontalDpi="300" verticalDpi="300" r:id="rId10"/>
    </customSheetView>
    <customSheetView guid="{A948BEAA-C943-439F-A074-9FFD96C20787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77" orientation="landscape" horizontalDpi="300" verticalDpi="300" r:id="rId11"/>
    </customSheetView>
    <customSheetView guid="{F15FCE5B-4793-4E19-BCC1-0B2A44E18C59}" showPageBreaks="1" showGridLines="0" fitToPage="1" printArea="1" hiddenColumns="1" view="pageBreakPreview">
      <pane xSplit="1" ySplit="4" topLeftCell="C5" activePane="bottomRight" state="frozen"/>
      <selection pane="bottomRight" activeCell="U4" sqref="U4"/>
      <pageMargins left="0.5" right="0.5" top="0.5" bottom="0.5" header="0.3" footer="0.3"/>
      <printOptions horizontalCentered="1"/>
      <pageSetup orientation="landscape" horizontalDpi="300" verticalDpi="300" r:id="rId12"/>
    </customSheetView>
    <customSheetView guid="{C758BCB7-A66F-4816-80B2-6959FA24FF89}" showPageBreaks="1" showGridLines="0" fitToPage="1" printArea="1" view="pageBreakPreview">
      <pane xSplit="2" ySplit="4" topLeftCell="C5" activePane="bottomRight" state="frozen"/>
      <selection pane="bottomRight" activeCell="Q30" sqref="Q30"/>
      <pageMargins left="0.5" right="0.5" top="0.5" bottom="0.5" header="0.3" footer="0.3"/>
      <pageSetup scale="77" orientation="landscape" horizontalDpi="300" verticalDpi="300" r:id="rId13"/>
    </customSheetView>
  </customSheetViews>
  <mergeCells count="1">
    <mergeCell ref="U3:Y3"/>
  </mergeCells>
  <printOptions horizontalCentered="1"/>
  <pageMargins left="0.7" right="0.7" top="0.75" bottom="0.75" header="0.3" footer="0.3"/>
  <pageSetup scale="69" orientation="landscape" r:id="rId14"/>
  <headerFooter>
    <oddHeader>&amp;C&amp;16Attachment D: Summary Tables of Affordable Housing Outcomes Under Various Development Scenarios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54"/>
  <sheetViews>
    <sheetView showGridLines="0" view="pageBreakPreview" zoomScaleNormal="100" zoomScaleSheetLayoutView="100" workbookViewId="0">
      <pane xSplit="1" ySplit="4" topLeftCell="D5" activePane="bottomRight" state="frozen"/>
      <selection activeCell="AB1" sqref="AB1:AC1048576"/>
      <selection pane="topRight" activeCell="AB1" sqref="AB1:AC1048576"/>
      <selection pane="bottomLeft" activeCell="AB1" sqref="AB1:AC1048576"/>
      <selection pane="bottomRight" activeCell="I12" sqref="I12"/>
    </sheetView>
  </sheetViews>
  <sheetFormatPr defaultColWidth="7.5703125" defaultRowHeight="13.5"/>
  <cols>
    <col min="1" max="1" width="38.7109375" style="627" customWidth="1"/>
    <col min="2" max="2" width="1" style="627" customWidth="1"/>
    <col min="3" max="3" width="10" style="638" bestFit="1" customWidth="1"/>
    <col min="4" max="4" width="1" style="627" customWidth="1"/>
    <col min="5" max="5" width="6.5703125" style="627" bestFit="1" customWidth="1"/>
    <col min="6" max="6" width="1" style="627" customWidth="1"/>
    <col min="7" max="7" width="9.85546875" style="627" customWidth="1"/>
    <col min="8" max="8" width="1" style="627" customWidth="1"/>
    <col min="9" max="9" width="11.42578125" style="627" bestFit="1" customWidth="1"/>
    <col min="10" max="10" width="1.140625" style="627" customWidth="1"/>
    <col min="11" max="11" width="11.28515625" style="627" customWidth="1"/>
    <col min="12" max="12" width="1.140625" style="627" customWidth="1"/>
    <col min="13" max="13" width="11" style="627" bestFit="1" customWidth="1"/>
    <col min="14" max="14" width="2.140625" style="627" bestFit="1" customWidth="1"/>
    <col min="15" max="15" width="8.85546875" style="627" bestFit="1" customWidth="1"/>
    <col min="16" max="16" width="2.140625" style="627" bestFit="1" customWidth="1"/>
    <col min="17" max="17" width="8.85546875" style="627" bestFit="1" customWidth="1"/>
    <col min="18" max="18" width="2.140625" style="627" bestFit="1" customWidth="1"/>
    <col min="19" max="19" width="10.85546875" style="627" bestFit="1" customWidth="1"/>
    <col min="20" max="20" width="2.140625" style="627" bestFit="1" customWidth="1"/>
    <col min="21" max="21" width="10.42578125" style="627" customWidth="1"/>
    <col min="22" max="22" width="2.140625" style="627" bestFit="1" customWidth="1"/>
    <col min="23" max="23" width="10.7109375" style="627" bestFit="1" customWidth="1"/>
    <col min="24" max="24" width="2.140625" style="627" bestFit="1" customWidth="1"/>
    <col min="25" max="25" width="9.28515625" style="627" bestFit="1" customWidth="1"/>
    <col min="26" max="26" width="2.140625" style="627" customWidth="1"/>
    <col min="27" max="27" width="9.85546875" style="627" bestFit="1" customWidth="1"/>
    <col min="28" max="28" width="9.7109375" style="627" bestFit="1" customWidth="1"/>
    <col min="29" max="29" width="9.42578125" style="627" bestFit="1" customWidth="1"/>
    <col min="30" max="30" width="9.85546875" style="627" customWidth="1"/>
    <col min="31" max="31" width="7.5703125" style="627"/>
    <col min="32" max="32" width="12.5703125" style="627" bestFit="1" customWidth="1"/>
    <col min="33" max="16384" width="7.5703125" style="627"/>
  </cols>
  <sheetData>
    <row r="1" spans="1:32" s="623" customFormat="1" ht="15">
      <c r="A1" s="621" t="s">
        <v>533</v>
      </c>
      <c r="B1" s="621"/>
      <c r="C1" s="622" t="s">
        <v>534</v>
      </c>
      <c r="D1" s="622"/>
      <c r="E1" s="622" t="s">
        <v>535</v>
      </c>
      <c r="F1" s="622"/>
      <c r="G1" s="622" t="s">
        <v>536</v>
      </c>
      <c r="H1" s="622"/>
      <c r="I1" s="622" t="s">
        <v>537</v>
      </c>
      <c r="J1" s="622"/>
      <c r="K1" s="622" t="s">
        <v>538</v>
      </c>
      <c r="L1" s="622"/>
      <c r="M1" s="622" t="s">
        <v>539</v>
      </c>
      <c r="N1" s="622"/>
      <c r="O1" s="622" t="s">
        <v>540</v>
      </c>
      <c r="P1" s="622"/>
      <c r="Q1" s="622" t="s">
        <v>541</v>
      </c>
      <c r="R1" s="622"/>
      <c r="S1" s="622" t="s">
        <v>542</v>
      </c>
      <c r="T1" s="622"/>
      <c r="U1" s="622" t="s">
        <v>543</v>
      </c>
      <c r="V1" s="622"/>
      <c r="W1" s="622" t="s">
        <v>544</v>
      </c>
      <c r="X1" s="622"/>
      <c r="Y1" s="622" t="s">
        <v>545</v>
      </c>
      <c r="Z1" s="622"/>
      <c r="AA1" s="622" t="s">
        <v>611</v>
      </c>
      <c r="AB1" s="780"/>
      <c r="AD1" s="621"/>
      <c r="AF1" s="627"/>
    </row>
    <row r="2" spans="1:32" s="623" customFormat="1" ht="6" customHeight="1">
      <c r="A2" s="624"/>
      <c r="B2" s="627"/>
      <c r="C2" s="626"/>
      <c r="D2" s="626"/>
      <c r="E2" s="626"/>
      <c r="F2" s="626"/>
      <c r="G2" s="626"/>
      <c r="H2" s="626"/>
      <c r="I2" s="626"/>
      <c r="J2" s="626"/>
      <c r="K2" s="626"/>
      <c r="L2" s="625"/>
      <c r="M2" s="625"/>
      <c r="N2" s="627"/>
      <c r="O2" s="627"/>
      <c r="P2" s="627"/>
      <c r="Q2" s="627"/>
      <c r="R2" s="627"/>
      <c r="S2" s="627"/>
      <c r="T2" s="625"/>
      <c r="U2" s="626"/>
      <c r="V2" s="625"/>
      <c r="W2" s="625"/>
      <c r="X2" s="625"/>
      <c r="Y2" s="625"/>
      <c r="Z2" s="625"/>
      <c r="AA2" s="625"/>
      <c r="AD2" s="625"/>
      <c r="AF2" s="627"/>
    </row>
    <row r="3" spans="1:32" ht="15">
      <c r="C3" s="628" t="s">
        <v>546</v>
      </c>
      <c r="D3" s="629"/>
      <c r="E3" s="629"/>
      <c r="F3" s="629"/>
      <c r="G3" s="629"/>
      <c r="H3" s="629"/>
      <c r="I3" s="630"/>
      <c r="J3" s="629"/>
      <c r="K3" s="631"/>
      <c r="L3" s="633"/>
      <c r="M3" s="628" t="s">
        <v>592</v>
      </c>
      <c r="O3" s="686" t="s">
        <v>613</v>
      </c>
      <c r="P3" s="687"/>
      <c r="Q3" s="687"/>
      <c r="R3" s="687"/>
      <c r="S3" s="687"/>
      <c r="T3" s="633"/>
      <c r="U3" s="686" t="s">
        <v>311</v>
      </c>
      <c r="V3" s="633"/>
      <c r="W3" s="864" t="s">
        <v>612</v>
      </c>
      <c r="X3" s="864"/>
      <c r="Y3" s="864"/>
      <c r="Z3" s="794"/>
      <c r="AA3" s="794"/>
    </row>
    <row r="4" spans="1:32" ht="75">
      <c r="A4" s="621" t="s">
        <v>60</v>
      </c>
      <c r="B4" s="689"/>
      <c r="C4" s="622" t="s">
        <v>547</v>
      </c>
      <c r="D4" s="634"/>
      <c r="E4" s="634" t="s">
        <v>548</v>
      </c>
      <c r="F4" s="634"/>
      <c r="G4" s="634" t="s">
        <v>332</v>
      </c>
      <c r="H4" s="634"/>
      <c r="I4" s="634" t="s">
        <v>549</v>
      </c>
      <c r="J4" s="634"/>
      <c r="K4" s="634" t="s">
        <v>550</v>
      </c>
      <c r="L4" s="635"/>
      <c r="M4" s="634" t="s">
        <v>552</v>
      </c>
      <c r="N4" s="634" t="s">
        <v>368</v>
      </c>
      <c r="O4" s="634" t="s">
        <v>651</v>
      </c>
      <c r="P4" s="634" t="s">
        <v>368</v>
      </c>
      <c r="Q4" s="634" t="s">
        <v>654</v>
      </c>
      <c r="R4" s="634" t="s">
        <v>551</v>
      </c>
      <c r="S4" s="634" t="s">
        <v>564</v>
      </c>
      <c r="T4" s="634" t="s">
        <v>368</v>
      </c>
      <c r="U4" s="634" t="s">
        <v>666</v>
      </c>
      <c r="V4" s="634" t="s">
        <v>551</v>
      </c>
      <c r="W4" s="634" t="s">
        <v>388</v>
      </c>
      <c r="X4" s="634" t="s">
        <v>368</v>
      </c>
      <c r="Y4" s="634" t="s">
        <v>450</v>
      </c>
      <c r="Z4" s="634" t="s">
        <v>551</v>
      </c>
      <c r="AA4" s="634" t="str">
        <f>Summary!$A$30</f>
        <v>Total Net City Fund Impact (AHTF + Other)</v>
      </c>
      <c r="AD4" s="621" t="s">
        <v>642</v>
      </c>
      <c r="AF4" s="634" t="s">
        <v>565</v>
      </c>
    </row>
    <row r="5" spans="1:32" ht="6" customHeight="1">
      <c r="A5" s="624"/>
      <c r="B5" s="624"/>
      <c r="C5" s="636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Z5" s="624"/>
      <c r="AA5" s="624"/>
      <c r="AD5" s="624"/>
    </row>
    <row r="6" spans="1:32" ht="18.75">
      <c r="A6" s="726" t="s">
        <v>669</v>
      </c>
      <c r="E6" s="639"/>
      <c r="F6" s="639"/>
      <c r="G6" s="639"/>
      <c r="H6" s="639"/>
      <c r="I6" s="639"/>
      <c r="J6" s="639"/>
      <c r="K6" s="640"/>
      <c r="L6" s="640"/>
      <c r="M6" s="639"/>
      <c r="N6" s="640"/>
      <c r="O6" s="639"/>
      <c r="P6" s="640"/>
      <c r="Q6" s="639"/>
      <c r="R6" s="640"/>
      <c r="S6" s="639"/>
      <c r="T6" s="640"/>
      <c r="U6" s="639"/>
      <c r="V6" s="640"/>
      <c r="X6" s="640"/>
      <c r="AF6" s="690">
        <v>79</v>
      </c>
    </row>
    <row r="7" spans="1:32" ht="6" customHeight="1">
      <c r="A7" s="641"/>
      <c r="B7" s="642"/>
      <c r="C7" s="643"/>
      <c r="D7" s="643"/>
      <c r="E7" s="643"/>
      <c r="F7" s="643"/>
      <c r="G7" s="643"/>
      <c r="H7" s="643"/>
      <c r="I7" s="643"/>
      <c r="J7" s="643"/>
      <c r="K7" s="644"/>
      <c r="L7" s="645"/>
      <c r="M7" s="644"/>
      <c r="N7" s="640"/>
      <c r="O7" s="639"/>
      <c r="P7" s="640"/>
      <c r="Q7" s="639"/>
      <c r="R7" s="640"/>
      <c r="S7" s="639"/>
      <c r="T7" s="645"/>
      <c r="U7" s="644"/>
      <c r="V7" s="645"/>
      <c r="W7" s="644"/>
      <c r="X7" s="645"/>
      <c r="Y7" s="644"/>
      <c r="Z7" s="644"/>
      <c r="AA7" s="644"/>
      <c r="AD7" s="642"/>
    </row>
    <row r="8" spans="1:32" ht="15">
      <c r="A8" s="637" t="s">
        <v>667</v>
      </c>
      <c r="C8" s="646"/>
      <c r="D8" s="646"/>
      <c r="E8" s="647"/>
      <c r="F8" s="647"/>
      <c r="G8" s="647"/>
      <c r="H8" s="639"/>
      <c r="I8" s="639"/>
      <c r="J8" s="639"/>
      <c r="K8" s="640"/>
      <c r="L8" s="640"/>
      <c r="M8" s="639"/>
      <c r="N8" s="640"/>
      <c r="O8" s="639"/>
      <c r="P8" s="640"/>
      <c r="Q8" s="639"/>
      <c r="R8" s="640"/>
      <c r="S8" s="639"/>
      <c r="T8" s="640"/>
      <c r="U8" s="639"/>
      <c r="V8" s="640"/>
      <c r="X8" s="640"/>
      <c r="AD8" s="696" t="s">
        <v>567</v>
      </c>
    </row>
    <row r="9" spans="1:32">
      <c r="A9" s="709" t="str">
        <f>Sites!A5</f>
        <v>Wood Street</v>
      </c>
      <c r="B9" s="642"/>
      <c r="C9" s="646">
        <f>SUMIF(Sites!$A:$A,$A9,Sites!$I:$I)</f>
        <v>147081</v>
      </c>
      <c r="D9" s="643"/>
      <c r="E9" s="646">
        <f>SUMIF(Sites!$A:$A,$A9,Sites!$GW:$GW)</f>
        <v>292</v>
      </c>
      <c r="F9" s="643"/>
      <c r="G9" s="646">
        <f>SUMIF(Sites!$A:$A,$A9,Sites!$GX:$GX)</f>
        <v>0</v>
      </c>
      <c r="H9" s="643"/>
      <c r="I9" s="643">
        <v>0</v>
      </c>
      <c r="J9" s="643"/>
      <c r="K9" s="644">
        <f>SUMIF(Sites!$A:$A,$A9,Sites!$AG:$AG)</f>
        <v>11766480</v>
      </c>
      <c r="L9" s="707"/>
      <c r="M9" s="644">
        <f>-C$41*$E9</f>
        <v>-29711584</v>
      </c>
      <c r="N9" s="707"/>
      <c r="O9" s="644">
        <v>0</v>
      </c>
      <c r="P9" s="707"/>
      <c r="Q9" s="644">
        <f t="shared" ref="Q9:Q26" si="0">-IF(E9+G9&gt;$AF$6,$C$45*AF9,0)</f>
        <v>-4788800</v>
      </c>
      <c r="R9" s="707"/>
      <c r="S9" s="644">
        <f t="shared" ref="S9:S26" si="1">M9+O9+Q9</f>
        <v>-34500384</v>
      </c>
      <c r="T9" s="707"/>
      <c r="U9" s="644">
        <f>$G9*C$40</f>
        <v>0</v>
      </c>
      <c r="V9" s="707"/>
      <c r="W9" s="644">
        <f t="shared" ref="W9:W26" si="2">SUM(S9:U9)</f>
        <v>-34500384</v>
      </c>
      <c r="X9" s="707"/>
      <c r="Y9" s="644">
        <f>SUMIF(Sites!$A:$A,$A9,Sites!$HC:$HC)-SUMIF(Sites!$A:$A,$A9,Sites!$HD:$HD)</f>
        <v>0</v>
      </c>
      <c r="Z9" s="644"/>
      <c r="AA9" s="644">
        <f>W9+Y9</f>
        <v>-34500384</v>
      </c>
      <c r="AB9" s="644">
        <f>SUMIF(Sites!$A:$A,$A9,Sites!$HG:$HG)</f>
        <v>-34500384</v>
      </c>
      <c r="AC9" s="627" t="b">
        <f t="shared" ref="AC9:AC32" si="3">W9=AB9</f>
        <v>1</v>
      </c>
      <c r="AD9" s="642"/>
      <c r="AF9" s="644">
        <f>(E9+G9)*$C$43</f>
        <v>95776000</v>
      </c>
    </row>
    <row r="10" spans="1:32">
      <c r="A10" s="709" t="str">
        <f>Sites!A6</f>
        <v>Rotunda Garage Remainder</v>
      </c>
      <c r="C10" s="646">
        <f>SUMIF(Sites!$A:$A,$A10,Sites!$I:$I)</f>
        <v>6697</v>
      </c>
      <c r="D10" s="646"/>
      <c r="E10" s="646">
        <f>SUMIF(Sites!$A:$A,$A10,Sites!$GW:$GW)</f>
        <v>25</v>
      </c>
      <c r="F10" s="643"/>
      <c r="G10" s="646">
        <f>SUMIF(Sites!$A:$A,$A10,Sites!$GX:$GX)</f>
        <v>0</v>
      </c>
      <c r="H10" s="643"/>
      <c r="I10" s="643">
        <v>0</v>
      </c>
      <c r="J10" s="643"/>
      <c r="K10" s="644">
        <f>SUMIF(Sites!$A:$A,$A10,Sites!$AG:$AG)</f>
        <v>1339400</v>
      </c>
      <c r="L10" s="707"/>
      <c r="M10" s="644">
        <f t="shared" ref="M10:M26" si="4">-C$41*$E10</f>
        <v>-2543800</v>
      </c>
      <c r="N10" s="707"/>
      <c r="O10" s="644">
        <v>0</v>
      </c>
      <c r="P10" s="707"/>
      <c r="Q10" s="644">
        <f t="shared" si="0"/>
        <v>0</v>
      </c>
      <c r="R10" s="707"/>
      <c r="S10" s="644">
        <f t="shared" si="1"/>
        <v>-2543800</v>
      </c>
      <c r="T10" s="707"/>
      <c r="U10" s="644">
        <f t="shared" ref="U10:U26" si="5">$G10*C$40</f>
        <v>0</v>
      </c>
      <c r="V10" s="707"/>
      <c r="W10" s="644">
        <f t="shared" si="2"/>
        <v>-2543800</v>
      </c>
      <c r="X10" s="707"/>
      <c r="Y10" s="644">
        <f>SUMIF(Sites!$A:$A,$A10,Sites!$HC:$HC)-SUMIF(Sites!$A:$A,$A10,Sites!$HD:$HD)</f>
        <v>0</v>
      </c>
      <c r="Z10" s="644"/>
      <c r="AA10" s="644">
        <f t="shared" ref="AA10:AA26" si="6">W10+Y10</f>
        <v>-2543800</v>
      </c>
      <c r="AB10" s="644">
        <f>SUMIF(Sites!$A:$A,$A10,Sites!$HG:$HG)</f>
        <v>-2543800</v>
      </c>
      <c r="AC10" s="627" t="b">
        <f t="shared" si="3"/>
        <v>1</v>
      </c>
      <c r="AF10" s="644">
        <f t="shared" ref="AF10:AF26" si="7">(E10+G10)*$C$43</f>
        <v>8200000</v>
      </c>
    </row>
    <row r="11" spans="1:32">
      <c r="A11" s="709" t="str">
        <f>Sites!A7</f>
        <v>MLK Sites</v>
      </c>
      <c r="C11" s="646">
        <f>SUMIF(Sites!$A:$A,$A11,Sites!$I:$I)</f>
        <v>9125</v>
      </c>
      <c r="D11" s="643"/>
      <c r="E11" s="646">
        <f>SUMIF(Sites!$A:$A,$A11,Sites!$GW:$GW)</f>
        <v>21</v>
      </c>
      <c r="F11" s="643"/>
      <c r="G11" s="646">
        <f>SUMIF(Sites!$A:$A,$A11,Sites!$GX:$GX)</f>
        <v>0</v>
      </c>
      <c r="H11" s="643"/>
      <c r="I11" s="643">
        <v>0</v>
      </c>
      <c r="J11" s="643"/>
      <c r="K11" s="644">
        <f>SUMIF(Sites!$A:$A,$A11,Sites!$AG:$AG)</f>
        <v>1095000</v>
      </c>
      <c r="L11" s="707"/>
      <c r="M11" s="644">
        <f t="shared" si="4"/>
        <v>-2136792</v>
      </c>
      <c r="N11" s="707"/>
      <c r="O11" s="644">
        <v>0</v>
      </c>
      <c r="P11" s="657"/>
      <c r="Q11" s="644">
        <f t="shared" si="0"/>
        <v>0</v>
      </c>
      <c r="R11" s="707"/>
      <c r="S11" s="644">
        <f t="shared" si="1"/>
        <v>-2136792</v>
      </c>
      <c r="T11" s="707"/>
      <c r="U11" s="644">
        <f t="shared" si="5"/>
        <v>0</v>
      </c>
      <c r="V11" s="707"/>
      <c r="W11" s="644">
        <f t="shared" si="2"/>
        <v>-2136792</v>
      </c>
      <c r="X11" s="707"/>
      <c r="Y11" s="644">
        <f>SUMIF(Sites!$A:$A,$A11,Sites!$HC:$HC)-SUMIF(Sites!$A:$A,$A11,Sites!$HD:$HD)</f>
        <v>0</v>
      </c>
      <c r="Z11" s="644"/>
      <c r="AA11" s="644">
        <f t="shared" si="6"/>
        <v>-2136792</v>
      </c>
      <c r="AB11" s="644">
        <f>SUMIF(Sites!$A:$A,$A11,Sites!$HG:$HG)</f>
        <v>-2136792</v>
      </c>
      <c r="AC11" s="627" t="b">
        <f t="shared" si="3"/>
        <v>1</v>
      </c>
      <c r="AD11" s="648"/>
      <c r="AF11" s="644">
        <f t="shared" si="7"/>
        <v>6888000</v>
      </c>
    </row>
    <row r="12" spans="1:32">
      <c r="A12" s="709" t="str">
        <f>Sites!A8</f>
        <v>Piedmont Ave/Howe St Parking</v>
      </c>
      <c r="B12" s="642"/>
      <c r="C12" s="646">
        <f>SUMIF(Sites!$A:$A,$A12,Sites!$I:$I)</f>
        <v>43532</v>
      </c>
      <c r="D12" s="643"/>
      <c r="E12" s="646">
        <f>SUMIF(Sites!$A:$A,$A12,Sites!$GW:$GW)</f>
        <v>97</v>
      </c>
      <c r="F12" s="643"/>
      <c r="G12" s="646">
        <f>SUMIF(Sites!$A:$A,$A12,Sites!$GX:$GX)</f>
        <v>0</v>
      </c>
      <c r="H12" s="643"/>
      <c r="I12" s="643">
        <v>0</v>
      </c>
      <c r="J12" s="643"/>
      <c r="K12" s="644">
        <f>SUMIF(Sites!$A:$A,$A12,Sites!$AG:$AG)</f>
        <v>15236200</v>
      </c>
      <c r="L12" s="707"/>
      <c r="M12" s="644">
        <f t="shared" si="4"/>
        <v>-9869944</v>
      </c>
      <c r="N12" s="707"/>
      <c r="O12" s="644">
        <v>0</v>
      </c>
      <c r="P12" s="707"/>
      <c r="Q12" s="644">
        <f t="shared" si="0"/>
        <v>-1590800</v>
      </c>
      <c r="R12" s="707"/>
      <c r="S12" s="644">
        <f t="shared" si="1"/>
        <v>-11460744</v>
      </c>
      <c r="T12" s="707"/>
      <c r="U12" s="644">
        <f t="shared" si="5"/>
        <v>0</v>
      </c>
      <c r="V12" s="707"/>
      <c r="W12" s="644">
        <f t="shared" si="2"/>
        <v>-11460744</v>
      </c>
      <c r="X12" s="707"/>
      <c r="Y12" s="644">
        <f>SUMIF(Sites!$A:$A,$A12,Sites!$HC:$HC)-SUMIF(Sites!$A:$A,$A12,Sites!$HD:$HD)</f>
        <v>0</v>
      </c>
      <c r="Z12" s="644"/>
      <c r="AA12" s="644">
        <f t="shared" si="6"/>
        <v>-11460744</v>
      </c>
      <c r="AB12" s="644">
        <f>SUMIF(Sites!$A:$A,$A12,Sites!$HG:$HG)</f>
        <v>-11460744</v>
      </c>
      <c r="AC12" s="627" t="b">
        <f t="shared" si="3"/>
        <v>1</v>
      </c>
      <c r="AD12" s="642"/>
      <c r="AF12" s="644">
        <f t="shared" si="7"/>
        <v>31816000</v>
      </c>
    </row>
    <row r="13" spans="1:32">
      <c r="A13" s="709" t="str">
        <f>Sites!A9</f>
        <v>Miller Library Site</v>
      </c>
      <c r="C13" s="646">
        <f>SUMIF(Sites!$A:$A,$A13,Sites!$I:$I)</f>
        <v>11969</v>
      </c>
      <c r="D13" s="643"/>
      <c r="E13" s="646">
        <f>SUMIF(Sites!$A:$A,$A13,Sites!$GW:$GW)</f>
        <v>10</v>
      </c>
      <c r="F13" s="643"/>
      <c r="G13" s="646">
        <f>SUMIF(Sites!$A:$A,$A13,Sites!$GX:$GX)</f>
        <v>0</v>
      </c>
      <c r="H13" s="643"/>
      <c r="I13" s="643">
        <v>0</v>
      </c>
      <c r="J13" s="643"/>
      <c r="K13" s="644">
        <f>SUMIF(Sites!$A:$A,$A13,Sites!$AG:$AG)</f>
        <v>1077210</v>
      </c>
      <c r="L13" s="707"/>
      <c r="M13" s="644">
        <f t="shared" si="4"/>
        <v>-1017520</v>
      </c>
      <c r="N13" s="707"/>
      <c r="O13" s="644">
        <v>0</v>
      </c>
      <c r="P13" s="707"/>
      <c r="Q13" s="644">
        <f t="shared" si="0"/>
        <v>0</v>
      </c>
      <c r="R13" s="707"/>
      <c r="S13" s="644">
        <f t="shared" si="1"/>
        <v>-1017520</v>
      </c>
      <c r="T13" s="707"/>
      <c r="U13" s="644">
        <f t="shared" si="5"/>
        <v>0</v>
      </c>
      <c r="V13" s="707"/>
      <c r="W13" s="644">
        <f t="shared" si="2"/>
        <v>-1017520</v>
      </c>
      <c r="X13" s="707"/>
      <c r="Y13" s="644">
        <f>SUMIF(Sites!$A:$A,$A13,Sites!$HC:$HC)-SUMIF(Sites!$A:$A,$A13,Sites!$HD:$HD)</f>
        <v>0</v>
      </c>
      <c r="Z13" s="644"/>
      <c r="AA13" s="644">
        <f t="shared" si="6"/>
        <v>-1017520</v>
      </c>
      <c r="AB13" s="644">
        <f>SUMIF(Sites!$A:$A,$A13,Sites!$HG:$HG)</f>
        <v>-1017520</v>
      </c>
      <c r="AC13" s="627" t="b">
        <f t="shared" si="3"/>
        <v>1</v>
      </c>
      <c r="AD13" s="642"/>
      <c r="AF13" s="644">
        <f t="shared" si="7"/>
        <v>3280000</v>
      </c>
    </row>
    <row r="14" spans="1:32">
      <c r="A14" s="709" t="str">
        <f>Sites!A10</f>
        <v xml:space="preserve">27th &amp; Foothill </v>
      </c>
      <c r="C14" s="646">
        <f>SUMIF(Sites!$A:$A,$A14,Sites!$I:$I)</f>
        <v>22581</v>
      </c>
      <c r="D14" s="643"/>
      <c r="E14" s="646">
        <f>SUMIF(Sites!$A:$A,$A14,Sites!$GW:$GW)</f>
        <v>51</v>
      </c>
      <c r="F14" s="643"/>
      <c r="G14" s="646">
        <f>SUMIF(Sites!$A:$A,$A14,Sites!$GX:$GX)</f>
        <v>0</v>
      </c>
      <c r="H14" s="643"/>
      <c r="I14" s="643">
        <v>0</v>
      </c>
      <c r="J14" s="643"/>
      <c r="K14" s="644">
        <f>SUMIF(Sites!$A:$A,$A14,Sites!$AG:$AG)</f>
        <v>1016145</v>
      </c>
      <c r="L14" s="707"/>
      <c r="M14" s="644">
        <f t="shared" si="4"/>
        <v>-5189352</v>
      </c>
      <c r="N14" s="707"/>
      <c r="O14" s="644">
        <v>0</v>
      </c>
      <c r="P14" s="707"/>
      <c r="Q14" s="644">
        <f t="shared" si="0"/>
        <v>0</v>
      </c>
      <c r="R14" s="707"/>
      <c r="S14" s="644">
        <f t="shared" si="1"/>
        <v>-5189352</v>
      </c>
      <c r="T14" s="707"/>
      <c r="U14" s="644">
        <f t="shared" si="5"/>
        <v>0</v>
      </c>
      <c r="V14" s="707"/>
      <c r="W14" s="644">
        <f t="shared" si="2"/>
        <v>-5189352</v>
      </c>
      <c r="X14" s="707"/>
      <c r="Y14" s="644">
        <f>SUMIF(Sites!$A:$A,$A14,Sites!$HC:$HC)-SUMIF(Sites!$A:$A,$A14,Sites!$HD:$HD)</f>
        <v>0</v>
      </c>
      <c r="Z14" s="644"/>
      <c r="AA14" s="644">
        <f t="shared" si="6"/>
        <v>-5189352</v>
      </c>
      <c r="AB14" s="644">
        <f>SUMIF(Sites!$A:$A,$A14,Sites!$HG:$HG)</f>
        <v>-5189352</v>
      </c>
      <c r="AC14" s="627" t="b">
        <f t="shared" si="3"/>
        <v>1</v>
      </c>
      <c r="AD14" s="642"/>
      <c r="AF14" s="644">
        <f t="shared" si="7"/>
        <v>16728000</v>
      </c>
    </row>
    <row r="15" spans="1:32">
      <c r="A15" s="709" t="str">
        <f>Sites!A11</f>
        <v xml:space="preserve">36th &amp; Foothill </v>
      </c>
      <c r="C15" s="646">
        <f>SUMIF(Sites!$A:$A,$A15,Sites!$I:$I)</f>
        <v>34164</v>
      </c>
      <c r="D15" s="643"/>
      <c r="E15" s="646">
        <f>SUMIF(Sites!$A:$A,$A15,Sites!$GW:$GW)</f>
        <v>76</v>
      </c>
      <c r="F15" s="643"/>
      <c r="G15" s="646">
        <f>SUMIF(Sites!$A:$A,$A15,Sites!$GX:$GX)</f>
        <v>0</v>
      </c>
      <c r="H15" s="643"/>
      <c r="I15" s="643">
        <v>0</v>
      </c>
      <c r="J15" s="643"/>
      <c r="K15" s="644">
        <f>SUMIF(Sites!$A:$A,$A15,Sites!$AG:$AG)</f>
        <v>1537380</v>
      </c>
      <c r="L15" s="707"/>
      <c r="M15" s="644">
        <f t="shared" si="4"/>
        <v>-7733152</v>
      </c>
      <c r="N15" s="657"/>
      <c r="O15" s="644">
        <v>0</v>
      </c>
      <c r="P15" s="657"/>
      <c r="Q15" s="644">
        <f t="shared" si="0"/>
        <v>0</v>
      </c>
      <c r="R15" s="657"/>
      <c r="S15" s="644">
        <f t="shared" si="1"/>
        <v>-7733152</v>
      </c>
      <c r="T15" s="707"/>
      <c r="U15" s="644">
        <f t="shared" si="5"/>
        <v>0</v>
      </c>
      <c r="V15" s="707"/>
      <c r="W15" s="644">
        <f t="shared" si="2"/>
        <v>-7733152</v>
      </c>
      <c r="X15" s="707"/>
      <c r="Y15" s="644">
        <f>SUMIF(Sites!$A:$A,$A15,Sites!$HC:$HC)-SUMIF(Sites!$A:$A,$A15,Sites!$HD:$HD)</f>
        <v>0</v>
      </c>
      <c r="Z15" s="644"/>
      <c r="AA15" s="644">
        <f t="shared" si="6"/>
        <v>-7733152</v>
      </c>
      <c r="AB15" s="644">
        <f>SUMIF(Sites!$A:$A,$A15,Sites!$HG:$HG)</f>
        <v>-7733152</v>
      </c>
      <c r="AC15" s="627" t="b">
        <f t="shared" si="3"/>
        <v>1</v>
      </c>
      <c r="AD15" s="642"/>
      <c r="AF15" s="644">
        <f t="shared" si="7"/>
        <v>24928000</v>
      </c>
    </row>
    <row r="16" spans="1:32">
      <c r="A16" s="709" t="str">
        <f>Sites!A12</f>
        <v>73rd &amp; International</v>
      </c>
      <c r="C16" s="646">
        <f>SUMIF(Sites!$A:$A,$A16,Sites!$I:$I)</f>
        <v>5435</v>
      </c>
      <c r="D16" s="646"/>
      <c r="E16" s="646">
        <f>SUMIF(Sites!$A:$A,$A16,Sites!$GW:$GW)</f>
        <v>13</v>
      </c>
      <c r="F16" s="646"/>
      <c r="G16" s="646">
        <f>SUMIF(Sites!$A:$A,$A16,Sites!$GX:$GX)</f>
        <v>0</v>
      </c>
      <c r="H16" s="643"/>
      <c r="I16" s="666">
        <v>0</v>
      </c>
      <c r="J16" s="667"/>
      <c r="K16" s="644">
        <f>SUMIF(Sites!$A:$A,$A16,Sites!$AG:$AG)</f>
        <v>407625</v>
      </c>
      <c r="L16" s="707"/>
      <c r="M16" s="644">
        <f t="shared" si="4"/>
        <v>-1322776</v>
      </c>
      <c r="N16" s="707"/>
      <c r="O16" s="644">
        <v>0</v>
      </c>
      <c r="P16" s="657"/>
      <c r="Q16" s="644">
        <f t="shared" si="0"/>
        <v>0</v>
      </c>
      <c r="R16" s="707"/>
      <c r="S16" s="644">
        <f t="shared" si="1"/>
        <v>-1322776</v>
      </c>
      <c r="T16" s="707"/>
      <c r="U16" s="644">
        <f t="shared" si="5"/>
        <v>0</v>
      </c>
      <c r="V16" s="707"/>
      <c r="W16" s="644">
        <f t="shared" si="2"/>
        <v>-1322776</v>
      </c>
      <c r="X16" s="707"/>
      <c r="Y16" s="644">
        <f>SUMIF(Sites!$A:$A,$A16,Sites!$HC:$HC)-SUMIF(Sites!$A:$A,$A16,Sites!$HD:$HD)</f>
        <v>0</v>
      </c>
      <c r="Z16" s="644"/>
      <c r="AA16" s="644">
        <f t="shared" si="6"/>
        <v>-1322776</v>
      </c>
      <c r="AB16" s="644">
        <f>SUMIF(Sites!$A:$A,$A16,Sites!$HG:$HG)</f>
        <v>-1322776</v>
      </c>
      <c r="AC16" s="627" t="b">
        <f t="shared" si="3"/>
        <v>1</v>
      </c>
      <c r="AF16" s="644">
        <f t="shared" si="7"/>
        <v>4264000</v>
      </c>
    </row>
    <row r="17" spans="1:32">
      <c r="A17" s="709" t="str">
        <f>Sites!A13</f>
        <v xml:space="preserve">Clara &amp; Edes </v>
      </c>
      <c r="C17" s="646">
        <f>SUMIF(Sites!$A:$A,$A17,Sites!$I:$I)</f>
        <v>26311</v>
      </c>
      <c r="D17" s="643"/>
      <c r="E17" s="646">
        <f>SUMIF(Sites!$A:$A,$A17,Sites!$GW:$GW)</f>
        <v>32</v>
      </c>
      <c r="F17" s="643"/>
      <c r="G17" s="646">
        <f>SUMIF(Sites!$A:$A,$A17,Sites!$GX:$GX)</f>
        <v>0</v>
      </c>
      <c r="H17" s="643"/>
      <c r="I17" s="643">
        <v>0</v>
      </c>
      <c r="J17" s="643"/>
      <c r="K17" s="644">
        <f>SUMIF(Sites!$A:$A,$A17,Sites!$AG:$AG)</f>
        <v>1052440</v>
      </c>
      <c r="L17" s="707"/>
      <c r="M17" s="644">
        <f t="shared" si="4"/>
        <v>-3256064</v>
      </c>
      <c r="N17" s="707"/>
      <c r="O17" s="644">
        <v>0</v>
      </c>
      <c r="P17" s="707"/>
      <c r="Q17" s="644">
        <f t="shared" si="0"/>
        <v>0</v>
      </c>
      <c r="R17" s="707"/>
      <c r="S17" s="644">
        <f t="shared" si="1"/>
        <v>-3256064</v>
      </c>
      <c r="T17" s="707"/>
      <c r="U17" s="644">
        <f t="shared" si="5"/>
        <v>0</v>
      </c>
      <c r="V17" s="707"/>
      <c r="W17" s="644">
        <f t="shared" si="2"/>
        <v>-3256064</v>
      </c>
      <c r="X17" s="707"/>
      <c r="Y17" s="644">
        <f>SUMIF(Sites!$A:$A,$A17,Sites!$HC:$HC)-SUMIF(Sites!$A:$A,$A17,Sites!$HD:$HD)</f>
        <v>0</v>
      </c>
      <c r="Z17" s="644"/>
      <c r="AA17" s="644">
        <f t="shared" si="6"/>
        <v>-3256064</v>
      </c>
      <c r="AB17" s="644">
        <f>SUMIF(Sites!$A:$A,$A17,Sites!$HG:$HG)</f>
        <v>-3256064</v>
      </c>
      <c r="AC17" s="627" t="b">
        <f t="shared" si="3"/>
        <v>1</v>
      </c>
      <c r="AD17" s="642"/>
      <c r="AF17" s="644">
        <f t="shared" si="7"/>
        <v>10496000</v>
      </c>
    </row>
    <row r="18" spans="1:32">
      <c r="A18" s="709" t="str">
        <f>Sites!A14</f>
        <v>Golf Links Road</v>
      </c>
      <c r="C18" s="646">
        <f>SUMIF(Sites!$A:$A,$A18,Sites!$I:$I)</f>
        <v>32038</v>
      </c>
      <c r="D18" s="643"/>
      <c r="E18" s="646">
        <f>SUMIF(Sites!$A:$A,$A18,Sites!$GW:$GW)</f>
        <v>40</v>
      </c>
      <c r="F18" s="643"/>
      <c r="G18" s="646">
        <f>SUMIF(Sites!$A:$A,$A18,Sites!$GX:$GX)</f>
        <v>0</v>
      </c>
      <c r="H18" s="643"/>
      <c r="I18" s="643">
        <v>0</v>
      </c>
      <c r="J18" s="643"/>
      <c r="K18" s="644">
        <f>SUMIF(Sites!$A:$A,$A18,Sites!$AG:$AG)</f>
        <v>1281520</v>
      </c>
      <c r="L18" s="707"/>
      <c r="M18" s="644">
        <f t="shared" si="4"/>
        <v>-4070080</v>
      </c>
      <c r="N18" s="707"/>
      <c r="O18" s="644">
        <v>0</v>
      </c>
      <c r="P18" s="707"/>
      <c r="Q18" s="644">
        <f t="shared" si="0"/>
        <v>0</v>
      </c>
      <c r="R18" s="707"/>
      <c r="S18" s="644">
        <f t="shared" si="1"/>
        <v>-4070080</v>
      </c>
      <c r="T18" s="707"/>
      <c r="U18" s="644">
        <f t="shared" si="5"/>
        <v>0</v>
      </c>
      <c r="V18" s="707"/>
      <c r="W18" s="644">
        <f t="shared" si="2"/>
        <v>-4070080</v>
      </c>
      <c r="X18" s="707"/>
      <c r="Y18" s="644">
        <f>SUMIF(Sites!$A:$A,$A18,Sites!$HC:$HC)-SUMIF(Sites!$A:$A,$A18,Sites!$HD:$HD)</f>
        <v>0</v>
      </c>
      <c r="Z18" s="644"/>
      <c r="AA18" s="644">
        <f t="shared" si="6"/>
        <v>-4070080</v>
      </c>
      <c r="AB18" s="644">
        <f>SUMIF(Sites!$A:$A,$A18,Sites!$HG:$HG)</f>
        <v>-4070080</v>
      </c>
      <c r="AC18" s="627" t="b">
        <f t="shared" si="3"/>
        <v>1</v>
      </c>
      <c r="AD18" s="642"/>
      <c r="AF18" s="644">
        <f t="shared" si="7"/>
        <v>13120000</v>
      </c>
    </row>
    <row r="19" spans="1:32">
      <c r="A19" s="709" t="str">
        <f>Sites!A15</f>
        <v>8280 &amp; 8296 MacArthur</v>
      </c>
      <c r="B19" s="642"/>
      <c r="C19" s="646">
        <f>SUMIF(Sites!$A:$A,$A19,Sites!$I:$I)</f>
        <v>12720</v>
      </c>
      <c r="D19" s="646"/>
      <c r="E19" s="646">
        <f>SUMIF(Sites!$A:$A,$A19,Sites!$GW:$GW)</f>
        <v>8</v>
      </c>
      <c r="F19" s="643"/>
      <c r="G19" s="646">
        <f>SUMIF(Sites!$A:$A,$A19,Sites!$GX:$GX)</f>
        <v>0</v>
      </c>
      <c r="H19" s="643"/>
      <c r="I19" s="643">
        <v>0</v>
      </c>
      <c r="J19" s="643"/>
      <c r="K19" s="644">
        <f>SUMIF(Sites!$A:$A,$A19,Sites!$AG:$AG)</f>
        <v>826800</v>
      </c>
      <c r="L19" s="707"/>
      <c r="M19" s="644">
        <f t="shared" si="4"/>
        <v>-814016</v>
      </c>
      <c r="N19" s="707"/>
      <c r="O19" s="644">
        <v>0</v>
      </c>
      <c r="P19" s="707"/>
      <c r="Q19" s="644">
        <f t="shared" si="0"/>
        <v>0</v>
      </c>
      <c r="R19" s="707"/>
      <c r="S19" s="644">
        <f t="shared" si="1"/>
        <v>-814016</v>
      </c>
      <c r="T19" s="707"/>
      <c r="U19" s="644">
        <f t="shared" si="5"/>
        <v>0</v>
      </c>
      <c r="V19" s="707"/>
      <c r="W19" s="644">
        <f t="shared" si="2"/>
        <v>-814016</v>
      </c>
      <c r="X19" s="707"/>
      <c r="Y19" s="644">
        <f>SUMIF(Sites!$A:$A,$A19,Sites!$HC:$HC)-SUMIF(Sites!$A:$A,$A19,Sites!$HD:$HD)</f>
        <v>0</v>
      </c>
      <c r="Z19" s="644"/>
      <c r="AA19" s="644">
        <f t="shared" si="6"/>
        <v>-814016</v>
      </c>
      <c r="AB19" s="644">
        <f>SUMIF(Sites!$A:$A,$A19,Sites!$HG:$HG)</f>
        <v>-814016</v>
      </c>
      <c r="AC19" s="627" t="b">
        <f t="shared" si="3"/>
        <v>1</v>
      </c>
      <c r="AF19" s="644">
        <f t="shared" si="7"/>
        <v>2624000</v>
      </c>
    </row>
    <row r="20" spans="1:32">
      <c r="A20" s="709" t="str">
        <f>Sites!A16</f>
        <v>98th &amp; Stearns</v>
      </c>
      <c r="C20" s="646">
        <f>SUMIF(Sites!$A:$A,$A20,Sites!$I:$I)</f>
        <v>20614</v>
      </c>
      <c r="D20" s="643"/>
      <c r="E20" s="646">
        <f>SUMIF(Sites!$A:$A,$A20,Sites!$GW:$GW)</f>
        <v>6</v>
      </c>
      <c r="F20" s="643"/>
      <c r="G20" s="646">
        <f>SUMIF(Sites!$A:$A,$A20,Sites!$GX:$GX)</f>
        <v>0</v>
      </c>
      <c r="H20" s="643"/>
      <c r="I20" s="643">
        <v>0</v>
      </c>
      <c r="J20" s="643"/>
      <c r="K20" s="644">
        <f>SUMIF(Sites!$A:$A,$A20,Sites!$AG:$AG)</f>
        <v>1855260</v>
      </c>
      <c r="L20" s="707"/>
      <c r="M20" s="644">
        <f t="shared" si="4"/>
        <v>-610512</v>
      </c>
      <c r="N20" s="707"/>
      <c r="O20" s="644">
        <v>0</v>
      </c>
      <c r="P20" s="707"/>
      <c r="Q20" s="644">
        <f t="shared" si="0"/>
        <v>0</v>
      </c>
      <c r="R20" s="707"/>
      <c r="S20" s="644">
        <f t="shared" si="1"/>
        <v>-610512</v>
      </c>
      <c r="T20" s="707"/>
      <c r="U20" s="644">
        <f t="shared" si="5"/>
        <v>0</v>
      </c>
      <c r="V20" s="707"/>
      <c r="W20" s="644">
        <f t="shared" si="2"/>
        <v>-610512</v>
      </c>
      <c r="X20" s="707"/>
      <c r="Y20" s="644">
        <f>SUMIF(Sites!$A:$A,$A20,Sites!$HC:$HC)-SUMIF(Sites!$A:$A,$A20,Sites!$HD:$HD)</f>
        <v>0</v>
      </c>
      <c r="Z20" s="644"/>
      <c r="AA20" s="644">
        <f t="shared" si="6"/>
        <v>-610512</v>
      </c>
      <c r="AB20" s="644">
        <f>SUMIF(Sites!$A:$A,$A20,Sites!$HG:$HG)</f>
        <v>-610512</v>
      </c>
      <c r="AC20" s="627" t="b">
        <f t="shared" si="3"/>
        <v>1</v>
      </c>
      <c r="AD20" s="642"/>
      <c r="AF20" s="644">
        <f t="shared" si="7"/>
        <v>1968000</v>
      </c>
    </row>
    <row r="21" spans="1:32">
      <c r="A21" s="709" t="str">
        <f>Sites!A17</f>
        <v>10451 MacArthur</v>
      </c>
      <c r="B21" s="642"/>
      <c r="C21" s="646">
        <f>SUMIF(Sites!$A:$A,$A21,Sites!$I:$I)</f>
        <v>23000</v>
      </c>
      <c r="D21" s="643"/>
      <c r="E21" s="646">
        <f>SUMIF(Sites!$A:$A,$A21,Sites!$GW:$GW)</f>
        <v>52</v>
      </c>
      <c r="F21" s="643"/>
      <c r="G21" s="646">
        <f>SUMIF(Sites!$A:$A,$A21,Sites!$GX:$GX)</f>
        <v>0</v>
      </c>
      <c r="H21" s="643"/>
      <c r="I21" s="643">
        <v>0</v>
      </c>
      <c r="J21" s="643"/>
      <c r="K21" s="644">
        <f>SUMIF(Sites!$A:$A,$A21,Sites!$AG:$AG)</f>
        <v>1035000</v>
      </c>
      <c r="L21" s="707"/>
      <c r="M21" s="644">
        <f t="shared" si="4"/>
        <v>-5291104</v>
      </c>
      <c r="N21" s="707"/>
      <c r="O21" s="644">
        <v>0</v>
      </c>
      <c r="P21" s="707"/>
      <c r="Q21" s="644">
        <f t="shared" si="0"/>
        <v>0</v>
      </c>
      <c r="R21" s="707"/>
      <c r="S21" s="644">
        <f t="shared" si="1"/>
        <v>-5291104</v>
      </c>
      <c r="T21" s="707"/>
      <c r="U21" s="644">
        <f t="shared" si="5"/>
        <v>0</v>
      </c>
      <c r="V21" s="707"/>
      <c r="W21" s="644">
        <f t="shared" si="2"/>
        <v>-5291104</v>
      </c>
      <c r="X21" s="707"/>
      <c r="Y21" s="644">
        <f>SUMIF(Sites!$A:$A,$A21,Sites!$HC:$HC)-SUMIF(Sites!$A:$A,$A21,Sites!$HD:$HD)</f>
        <v>0</v>
      </c>
      <c r="Z21" s="644"/>
      <c r="AA21" s="644">
        <f t="shared" si="6"/>
        <v>-5291104</v>
      </c>
      <c r="AB21" s="644">
        <f>SUMIF(Sites!$A:$A,$A21,Sites!$HG:$HG)</f>
        <v>-5291104</v>
      </c>
      <c r="AC21" s="627" t="b">
        <f t="shared" si="3"/>
        <v>1</v>
      </c>
      <c r="AD21" s="642"/>
      <c r="AF21" s="644">
        <f t="shared" si="7"/>
        <v>17056000</v>
      </c>
    </row>
    <row r="22" spans="1:32">
      <c r="A22" s="709" t="str">
        <f>Sites!A18</f>
        <v>Barcelona Site (Oak Knoll)</v>
      </c>
      <c r="B22" s="642"/>
      <c r="C22" s="646">
        <f>SUMIF(Sites!$A:$A,$A22,Sites!$I:$I)</f>
        <v>205337</v>
      </c>
      <c r="D22" s="643"/>
      <c r="E22" s="646">
        <f>SUMIF(Sites!$A:$A,$A22,Sites!$GW:$GW)</f>
        <v>23</v>
      </c>
      <c r="F22" s="643"/>
      <c r="G22" s="646">
        <f>SUMIF(Sites!$A:$A,$A22,Sites!$GX:$GX)</f>
        <v>0</v>
      </c>
      <c r="H22" s="643"/>
      <c r="I22" s="643">
        <v>0</v>
      </c>
      <c r="J22" s="643"/>
      <c r="K22" s="644">
        <f>SUMIF(Sites!$A:$A,$A22,Sites!$AG:$AG)</f>
        <v>2550000</v>
      </c>
      <c r="L22" s="707"/>
      <c r="M22" s="644">
        <f t="shared" si="4"/>
        <v>-2340296</v>
      </c>
      <c r="N22" s="707"/>
      <c r="O22" s="644">
        <v>0</v>
      </c>
      <c r="P22" s="707"/>
      <c r="Q22" s="644">
        <f t="shared" si="0"/>
        <v>0</v>
      </c>
      <c r="R22" s="707"/>
      <c r="S22" s="644">
        <f t="shared" si="1"/>
        <v>-2340296</v>
      </c>
      <c r="T22" s="707"/>
      <c r="U22" s="644">
        <f t="shared" si="5"/>
        <v>0</v>
      </c>
      <c r="V22" s="707"/>
      <c r="W22" s="644">
        <f t="shared" si="2"/>
        <v>-2340296</v>
      </c>
      <c r="X22" s="707"/>
      <c r="Y22" s="644">
        <f>SUMIF(Sites!$A:$A,$A22,Sites!$HC:$HC)-SUMIF(Sites!$A:$A,$A22,Sites!$HD:$HD)</f>
        <v>0</v>
      </c>
      <c r="Z22" s="644"/>
      <c r="AA22" s="644">
        <f t="shared" si="6"/>
        <v>-2340296</v>
      </c>
      <c r="AB22" s="644">
        <f>SUMIF(Sites!$A:$A,$A22,Sites!$HG:$HG)</f>
        <v>-2340296</v>
      </c>
      <c r="AC22" s="627" t="b">
        <f>W22=AB22</f>
        <v>1</v>
      </c>
      <c r="AD22" s="642"/>
      <c r="AF22" s="644">
        <f t="shared" si="7"/>
        <v>7544000</v>
      </c>
    </row>
    <row r="23" spans="1:32" ht="15">
      <c r="A23" s="709" t="str">
        <f>Sites!A20</f>
        <v>1800 San Pablo</v>
      </c>
      <c r="C23" s="646">
        <v>44347</v>
      </c>
      <c r="D23" s="646"/>
      <c r="E23" s="646">
        <f>SUMIF(Sites!$A:$A,$A23,Sites!$GW:$GW)</f>
        <v>99</v>
      </c>
      <c r="F23" s="643"/>
      <c r="G23" s="646">
        <f>SUMIF(Sites!$A:$A,$A23,Sites!$GX:$GX)</f>
        <v>0</v>
      </c>
      <c r="H23" s="643"/>
      <c r="I23" s="643">
        <v>0</v>
      </c>
      <c r="J23" s="643"/>
      <c r="K23" s="644">
        <v>12195425</v>
      </c>
      <c r="L23" s="707"/>
      <c r="M23" s="644">
        <f t="shared" si="4"/>
        <v>-10073448</v>
      </c>
      <c r="N23" s="707"/>
      <c r="O23" s="644">
        <v>0</v>
      </c>
      <c r="P23" s="707"/>
      <c r="Q23" s="644">
        <f t="shared" si="0"/>
        <v>-1623600</v>
      </c>
      <c r="R23" s="707"/>
      <c r="S23" s="644">
        <f t="shared" si="1"/>
        <v>-11697048</v>
      </c>
      <c r="T23" s="707"/>
      <c r="U23" s="644">
        <f t="shared" si="5"/>
        <v>0</v>
      </c>
      <c r="V23" s="707"/>
      <c r="W23" s="644">
        <f t="shared" si="2"/>
        <v>-11697048</v>
      </c>
      <c r="X23" s="707"/>
      <c r="Y23" s="644">
        <f>SUMIF(Sites!$A:$A,$A23,Sites!$HC:$HC)-SUMIF(Sites!$A:$A,$A23,Sites!$HD:$HD)</f>
        <v>0</v>
      </c>
      <c r="Z23" s="663"/>
      <c r="AA23" s="644">
        <f t="shared" si="6"/>
        <v>-11697048</v>
      </c>
      <c r="AB23" s="644">
        <f>SUMIF(Sites!$A:$A,$A23,Sites!$HG:$HG)</f>
        <v>-11697048</v>
      </c>
      <c r="AC23" s="627" t="b">
        <f>W23=AB23</f>
        <v>1</v>
      </c>
      <c r="AF23" s="644">
        <f t="shared" si="7"/>
        <v>32472000</v>
      </c>
    </row>
    <row r="24" spans="1:32" ht="13.5" customHeight="1">
      <c r="A24" s="709" t="str">
        <f>Sites!A22</f>
        <v>Clay St Garage</v>
      </c>
      <c r="C24" s="646">
        <f>SUMIF(Sites!$A:$A,$A24,Sites!$I:$I)</f>
        <v>29000</v>
      </c>
      <c r="D24" s="646"/>
      <c r="E24" s="646">
        <f>SUMIF(Sites!$A:$A,$A24,Sites!$GW:$GW)</f>
        <v>65</v>
      </c>
      <c r="F24" s="643"/>
      <c r="G24" s="646">
        <f>SUMIF(Sites!$A:$A,$A24,Sites!$GX:$GX)</f>
        <v>0</v>
      </c>
      <c r="H24" s="643"/>
      <c r="I24" s="643">
        <v>0</v>
      </c>
      <c r="J24" s="667"/>
      <c r="K24" s="644">
        <v>6525000</v>
      </c>
      <c r="L24" s="707"/>
      <c r="M24" s="644">
        <f t="shared" si="4"/>
        <v>-6613880</v>
      </c>
      <c r="N24" s="707"/>
      <c r="O24" s="644">
        <v>0</v>
      </c>
      <c r="P24" s="707"/>
      <c r="Q24" s="644">
        <f t="shared" si="0"/>
        <v>0</v>
      </c>
      <c r="R24" s="707"/>
      <c r="S24" s="644">
        <f t="shared" si="1"/>
        <v>-6613880</v>
      </c>
      <c r="T24" s="707"/>
      <c r="U24" s="644">
        <f t="shared" si="5"/>
        <v>0</v>
      </c>
      <c r="V24" s="707"/>
      <c r="W24" s="644">
        <f t="shared" si="2"/>
        <v>-6613880</v>
      </c>
      <c r="X24" s="707"/>
      <c r="Y24" s="644">
        <f>SUMIF(Sites!$A:$A,$A24,Sites!$HC:$HC)-SUMIF(Sites!$A:$A,$A24,Sites!$HD:$HD)</f>
        <v>0</v>
      </c>
      <c r="Z24" s="657"/>
      <c r="AA24" s="644">
        <f t="shared" si="6"/>
        <v>-6613880</v>
      </c>
      <c r="AB24" s="644">
        <f>SUMIF(Sites!$A:$A,$A24,Sites!$HG:$HG)</f>
        <v>-6613880</v>
      </c>
      <c r="AC24" s="627" t="b">
        <f>W24=AB24</f>
        <v>1</v>
      </c>
      <c r="AF24" s="644">
        <f t="shared" si="7"/>
        <v>21320000</v>
      </c>
    </row>
    <row r="25" spans="1:32" ht="13.5" customHeight="1">
      <c r="A25" s="709" t="str">
        <f>Sites!A23</f>
        <v>1911 Telegraph</v>
      </c>
      <c r="C25" s="646">
        <f>SUMIF(Sites!$A:$A,$A25,Sites!$I:$I)</f>
        <v>45121</v>
      </c>
      <c r="D25" s="646"/>
      <c r="E25" s="646">
        <f>SUMIF(Sites!$A:$A,$A25,Sites!$GW:$GW)</f>
        <v>101</v>
      </c>
      <c r="F25" s="643"/>
      <c r="G25" s="646">
        <f>SUMIF(Sites!$A:$A,$A25,Sites!$GX:$GX)</f>
        <v>0</v>
      </c>
      <c r="H25" s="643"/>
      <c r="I25" s="643">
        <v>0</v>
      </c>
      <c r="J25" s="667"/>
      <c r="K25" s="644">
        <v>14664325</v>
      </c>
      <c r="L25" s="707"/>
      <c r="M25" s="644">
        <f t="shared" si="4"/>
        <v>-10276952</v>
      </c>
      <c r="N25" s="707"/>
      <c r="O25" s="644">
        <v>0</v>
      </c>
      <c r="P25" s="707"/>
      <c r="Q25" s="644">
        <f t="shared" si="0"/>
        <v>-1656400</v>
      </c>
      <c r="R25" s="707"/>
      <c r="S25" s="644">
        <f t="shared" si="1"/>
        <v>-11933352</v>
      </c>
      <c r="T25" s="707"/>
      <c r="U25" s="644">
        <f t="shared" si="5"/>
        <v>0</v>
      </c>
      <c r="V25" s="707"/>
      <c r="W25" s="644">
        <f t="shared" si="2"/>
        <v>-11933352</v>
      </c>
      <c r="X25" s="707"/>
      <c r="Y25" s="644">
        <f>SUMIF(Sites!$A:$A,$A25,Sites!$HC:$HC)-SUMIF(Sites!$A:$A,$A25,Sites!$HD:$HD)</f>
        <v>0</v>
      </c>
      <c r="Z25" s="657"/>
      <c r="AA25" s="644">
        <f t="shared" si="6"/>
        <v>-11933352</v>
      </c>
      <c r="AB25" s="644">
        <f>SUMIF(Sites!$A:$A,$A25,Sites!$HG:$HG)</f>
        <v>-11933352</v>
      </c>
      <c r="AC25" s="627" t="b">
        <f>W25=AB25</f>
        <v>1</v>
      </c>
      <c r="AF25" s="644">
        <f t="shared" si="7"/>
        <v>33128000</v>
      </c>
    </row>
    <row r="26" spans="1:32" ht="13.5" customHeight="1">
      <c r="A26" s="709" t="str">
        <f>Sites!A24</f>
        <v>Fire Alarm Bldg</v>
      </c>
      <c r="B26" s="659"/>
      <c r="C26" s="646">
        <f>SUMIF(Sites!$A:$A,$A26,Sites!$I:$I)</f>
        <v>31031</v>
      </c>
      <c r="D26" s="646"/>
      <c r="E26" s="646">
        <f>SUMIF(Sites!$A:$A,$A26,Sites!$GW:$GW)</f>
        <v>69</v>
      </c>
      <c r="F26" s="643"/>
      <c r="G26" s="646">
        <f>SUMIF(Sites!$A:$A,$A26,Sites!$GX:$GX)</f>
        <v>0</v>
      </c>
      <c r="H26" s="643"/>
      <c r="I26" s="643">
        <v>0</v>
      </c>
      <c r="J26" s="667"/>
      <c r="K26" s="644">
        <v>6981975</v>
      </c>
      <c r="L26" s="707"/>
      <c r="M26" s="644">
        <f t="shared" si="4"/>
        <v>-7020888</v>
      </c>
      <c r="N26" s="707"/>
      <c r="O26" s="644">
        <v>0</v>
      </c>
      <c r="P26" s="707"/>
      <c r="Q26" s="644">
        <f t="shared" si="0"/>
        <v>0</v>
      </c>
      <c r="R26" s="707"/>
      <c r="S26" s="644">
        <f t="shared" si="1"/>
        <v>-7020888</v>
      </c>
      <c r="T26" s="707"/>
      <c r="U26" s="644">
        <f t="shared" si="5"/>
        <v>0</v>
      </c>
      <c r="V26" s="707"/>
      <c r="W26" s="644">
        <f t="shared" si="2"/>
        <v>-7020888</v>
      </c>
      <c r="X26" s="707"/>
      <c r="Y26" s="644">
        <f>SUMIF(Sites!$A:$A,$A26,Sites!$HC:$HC)-SUMIF(Sites!$A:$A,$A26,Sites!$HD:$HD)</f>
        <v>0</v>
      </c>
      <c r="Z26" s="644"/>
      <c r="AA26" s="644">
        <f t="shared" si="6"/>
        <v>-7020888</v>
      </c>
      <c r="AB26" s="644">
        <f>SUMIF(Sites!$A:$A,$A26,Sites!$HG:$HG)</f>
        <v>-7020888</v>
      </c>
      <c r="AC26" s="627" t="b">
        <f>W26=AB26</f>
        <v>1</v>
      </c>
      <c r="AF26" s="644">
        <f t="shared" si="7"/>
        <v>22632000</v>
      </c>
    </row>
    <row r="27" spans="1:32" ht="15">
      <c r="A27" s="637" t="s">
        <v>553</v>
      </c>
      <c r="C27" s="650">
        <f>SUM(C9:C26)</f>
        <v>750103</v>
      </c>
      <c r="D27" s="651"/>
      <c r="E27" s="650">
        <f>SUM(E9:E26)</f>
        <v>1080</v>
      </c>
      <c r="F27" s="651"/>
      <c r="G27" s="650">
        <f>SUM(G9:G26)</f>
        <v>0</v>
      </c>
      <c r="H27" s="651"/>
      <c r="I27" s="650">
        <f>SUM(I9:I26)</f>
        <v>0</v>
      </c>
      <c r="J27" s="651"/>
      <c r="K27" s="652">
        <f>SUM(K9:K26)</f>
        <v>82443185</v>
      </c>
      <c r="L27" s="768"/>
      <c r="M27" s="652">
        <f>SUM(M9:M26)</f>
        <v>-109892160</v>
      </c>
      <c r="N27" s="707"/>
      <c r="O27" s="652">
        <f>SUM(O9:O26)</f>
        <v>0</v>
      </c>
      <c r="P27" s="707"/>
      <c r="Q27" s="652">
        <f>SUM(Q9:Q26)</f>
        <v>-9659600</v>
      </c>
      <c r="R27" s="707"/>
      <c r="S27" s="652">
        <f>SUM(S9:S26)</f>
        <v>-119551760</v>
      </c>
      <c r="T27" s="663"/>
      <c r="U27" s="652">
        <f>SUM(U9:U26)</f>
        <v>0</v>
      </c>
      <c r="V27" s="663"/>
      <c r="W27" s="652">
        <f>SUM(W9:W26)</f>
        <v>-119551760</v>
      </c>
      <c r="X27" s="663"/>
      <c r="Y27" s="652">
        <f>SUM(Y9:Y26)</f>
        <v>0</v>
      </c>
      <c r="Z27" s="663"/>
      <c r="AA27" s="652">
        <f>SUM(AA9:AA26)</f>
        <v>-119551760</v>
      </c>
      <c r="AB27" s="644"/>
      <c r="AD27" s="649"/>
      <c r="AF27" s="652">
        <f>SUM(AF9:AF26)</f>
        <v>354240000</v>
      </c>
    </row>
    <row r="28" spans="1:32" ht="6" customHeight="1">
      <c r="A28" s="641"/>
      <c r="C28" s="643"/>
      <c r="D28" s="643"/>
      <c r="E28" s="643"/>
      <c r="F28" s="643"/>
      <c r="G28" s="643"/>
      <c r="H28" s="643"/>
      <c r="I28" s="643"/>
      <c r="J28" s="655"/>
      <c r="K28" s="707"/>
      <c r="L28" s="707"/>
      <c r="M28" s="707"/>
      <c r="N28" s="707"/>
      <c r="O28" s="644">
        <f>-IF(C28+E28&gt;$AK$6,$D$47*AH28,0)</f>
        <v>0</v>
      </c>
      <c r="P28" s="707"/>
      <c r="Q28" s="644">
        <f>-IF(C28+E28&gt;$AK$6,$D$48*AH28,0)</f>
        <v>0</v>
      </c>
      <c r="R28" s="707"/>
      <c r="S28" s="644"/>
      <c r="T28" s="707"/>
      <c r="U28" s="707"/>
      <c r="V28" s="707"/>
      <c r="W28" s="657"/>
      <c r="X28" s="707"/>
      <c r="Y28" s="657"/>
      <c r="Z28" s="710"/>
      <c r="AA28" s="710"/>
      <c r="AB28" s="644"/>
      <c r="AD28" s="642"/>
      <c r="AF28" s="644"/>
    </row>
    <row r="29" spans="1:32" ht="6" customHeight="1">
      <c r="A29" s="658"/>
      <c r="B29" s="659"/>
      <c r="C29" s="664"/>
      <c r="D29" s="661"/>
      <c r="E29" s="651"/>
      <c r="F29" s="651"/>
      <c r="G29" s="651"/>
      <c r="H29" s="665"/>
      <c r="I29" s="651"/>
      <c r="J29" s="665"/>
      <c r="K29" s="768"/>
      <c r="L29" s="768"/>
      <c r="M29" s="768"/>
      <c r="N29" s="768"/>
      <c r="O29" s="644">
        <f>-IF(C29+E29&gt;$AK$6,$D$47*AH29,0)</f>
        <v>0</v>
      </c>
      <c r="P29" s="768"/>
      <c r="Q29" s="644">
        <f>-IF(C29+E29&gt;$AK$6,$D$48*AH29,0)</f>
        <v>0</v>
      </c>
      <c r="R29" s="768"/>
      <c r="S29" s="644"/>
      <c r="T29" s="768"/>
      <c r="U29" s="768"/>
      <c r="V29" s="768"/>
      <c r="W29" s="710"/>
      <c r="X29" s="768"/>
      <c r="Y29" s="710"/>
      <c r="Z29" s="657"/>
      <c r="AA29" s="657"/>
      <c r="AB29" s="644"/>
      <c r="AD29" s="659"/>
      <c r="AF29" s="644"/>
    </row>
    <row r="30" spans="1:32" ht="15">
      <c r="A30" s="637" t="s">
        <v>409</v>
      </c>
      <c r="C30" s="646"/>
      <c r="D30" s="646"/>
      <c r="E30" s="646"/>
      <c r="F30" s="646"/>
      <c r="G30" s="646"/>
      <c r="H30" s="638"/>
      <c r="I30" s="646"/>
      <c r="J30" s="638"/>
      <c r="K30" s="657"/>
      <c r="L30" s="657"/>
      <c r="M30" s="657"/>
      <c r="N30" s="657"/>
      <c r="O30" s="644"/>
      <c r="P30" s="657"/>
      <c r="Q30" s="644"/>
      <c r="R30" s="657"/>
      <c r="S30" s="644"/>
      <c r="T30" s="657"/>
      <c r="U30" s="657"/>
      <c r="V30" s="657"/>
      <c r="W30" s="657"/>
      <c r="X30" s="657"/>
      <c r="Y30" s="657"/>
      <c r="Z30" s="644"/>
      <c r="AA30" s="644">
        <f t="shared" ref="AA30:AA34" si="8">W30+Y30</f>
        <v>0</v>
      </c>
      <c r="AB30" s="644"/>
      <c r="AF30" s="644"/>
    </row>
    <row r="31" spans="1:32" ht="13.5" customHeight="1">
      <c r="A31" s="709" t="str">
        <f>Sites!A25</f>
        <v>Old Fire Station #24</v>
      </c>
      <c r="B31" s="670"/>
      <c r="C31" s="646">
        <f>SUMIF(Sites!$A:$A,$A31,Sites!$I:$I)</f>
        <v>39535</v>
      </c>
      <c r="D31" s="646"/>
      <c r="E31" s="646">
        <f>SUMIF(Sites!$A:$A,$A31,Sites!$GW:$GW)</f>
        <v>0</v>
      </c>
      <c r="F31" s="643"/>
      <c r="G31" s="646">
        <f>SUMIF(Sites!$A:$A,$A31,Sites!$GX:$GX)</f>
        <v>0</v>
      </c>
      <c r="H31" s="643"/>
      <c r="I31" s="646">
        <f>SUMIF(Sites!$A:$A,$A31,Sites!$J:$J)+SUMIF(Sites!$A:$A,$A31,Sites!$M:$M)</f>
        <v>20000</v>
      </c>
      <c r="J31" s="667"/>
      <c r="K31" s="644">
        <f>SUMIF(Sites!$A:$A,$A31,Sites!$AG:$AG)</f>
        <v>1250000</v>
      </c>
      <c r="L31" s="707"/>
      <c r="M31" s="644">
        <v>0</v>
      </c>
      <c r="N31" s="707"/>
      <c r="O31" s="644">
        <f>-IF(AF31&gt;40000000,AF31*$C$44,0)</f>
        <v>0</v>
      </c>
      <c r="P31" s="707"/>
      <c r="Q31" s="644">
        <f>-IF(AF31&gt;40000000,AF31*$C$45,0)</f>
        <v>0</v>
      </c>
      <c r="R31" s="707"/>
      <c r="S31" s="644">
        <f>(K31+O31+Q31)*$C$42</f>
        <v>625000</v>
      </c>
      <c r="T31" s="707"/>
      <c r="U31" s="644">
        <f>IF(I31&gt;25000,(I31-25000),0)*6</f>
        <v>0</v>
      </c>
      <c r="V31" s="707"/>
      <c r="W31" s="644">
        <f>SUM(S31:U31)</f>
        <v>625000</v>
      </c>
      <c r="X31" s="707"/>
      <c r="Y31" s="644">
        <f>SUMIF(Sites!$A:$A,$A31,Sites!$HC:$HC)-SUMIF(Sites!$A:$A,$A31,Sites!$HD:$HD)</f>
        <v>625000</v>
      </c>
      <c r="Z31" s="644"/>
      <c r="AA31" s="644">
        <f t="shared" si="8"/>
        <v>1250000</v>
      </c>
      <c r="AB31" s="644">
        <f>SUMIF(Sites!$A:$A,$A31,Sites!$HG:$HG)</f>
        <v>625000</v>
      </c>
      <c r="AC31" s="627" t="b">
        <f>W31=AB31</f>
        <v>1</v>
      </c>
      <c r="AF31" s="644">
        <f>I31*270</f>
        <v>5400000</v>
      </c>
    </row>
    <row r="32" spans="1:32" ht="13.5" customHeight="1">
      <c r="A32" s="709" t="str">
        <f>Sites!A26</f>
        <v xml:space="preserve">66th &amp; San Leandro </v>
      </c>
      <c r="B32" s="671"/>
      <c r="C32" s="646">
        <f>SUMIF(Sites!$A:$A,$A32,Sites!$I:$I)</f>
        <v>274428</v>
      </c>
      <c r="D32" s="646"/>
      <c r="E32" s="646">
        <f>SUMIF(Sites!$A:$A,$A32,Sites!$GW:$GW)</f>
        <v>0</v>
      </c>
      <c r="F32" s="643"/>
      <c r="G32" s="646">
        <f>SUMIF(Sites!$A:$A,$A32,Sites!$GX:$GX)</f>
        <v>0</v>
      </c>
      <c r="H32" s="643"/>
      <c r="I32" s="646">
        <f>SUMIF(Sites!$A:$A,$A32,Sites!$J:$J)+SUMIF(Sites!$A:$A,$A32,Sites!$M:$M)</f>
        <v>274428</v>
      </c>
      <c r="J32" s="667"/>
      <c r="K32" s="644">
        <f>SUMIF(Sites!$A:$A,$A32,Sites!$AG:$AG)</f>
        <v>9604980</v>
      </c>
      <c r="L32" s="707"/>
      <c r="M32" s="644">
        <v>0</v>
      </c>
      <c r="N32" s="707"/>
      <c r="O32" s="644">
        <f>-IF(AF32&gt;40000000,AF32*$C$44,0)</f>
        <v>-2469852</v>
      </c>
      <c r="P32" s="707"/>
      <c r="Q32" s="644">
        <f>-IF(AF32&gt;40000000,AF32*$C$45,0)</f>
        <v>-2469852</v>
      </c>
      <c r="R32" s="707"/>
      <c r="S32" s="644">
        <f>(K32+O32+Q32)*$C$42</f>
        <v>2332638</v>
      </c>
      <c r="T32" s="707"/>
      <c r="U32" s="644">
        <f>IF(I32&gt;25000,(I32-25000),0)*6</f>
        <v>1496568</v>
      </c>
      <c r="V32" s="707"/>
      <c r="W32" s="644">
        <f>SUM(S32:U32)</f>
        <v>3829206</v>
      </c>
      <c r="X32" s="707"/>
      <c r="Y32" s="644">
        <f>SUMIF(Sites!$A:$A,$A32,Sites!$HC:$HC)-SUMIF(Sites!$A:$A,$A32,Sites!$HD:$HD)</f>
        <v>2332638</v>
      </c>
      <c r="Z32" s="644"/>
      <c r="AA32" s="644">
        <f t="shared" si="8"/>
        <v>6161844</v>
      </c>
      <c r="AB32" s="644">
        <f>SUMIF(Sites!$A:$A,$A32,Sites!$HG:$HG)</f>
        <v>3829206</v>
      </c>
      <c r="AC32" s="627" t="b">
        <f t="shared" si="3"/>
        <v>1</v>
      </c>
      <c r="AF32" s="644">
        <f>I32*180</f>
        <v>49397040</v>
      </c>
    </row>
    <row r="33" spans="1:32" ht="15">
      <c r="A33" s="637" t="s">
        <v>556</v>
      </c>
      <c r="B33" s="670"/>
      <c r="C33" s="660">
        <f>SUM(C31:C32)</f>
        <v>313963</v>
      </c>
      <c r="D33" s="664"/>
      <c r="E33" s="650">
        <f>SUM(E31:E32)</f>
        <v>0</v>
      </c>
      <c r="F33" s="664"/>
      <c r="G33" s="650">
        <f>SUM(G31:G32)</f>
        <v>0</v>
      </c>
      <c r="H33" s="651"/>
      <c r="I33" s="660">
        <f>SUM(I31:I32)</f>
        <v>294428</v>
      </c>
      <c r="J33" s="669"/>
      <c r="K33" s="652">
        <f>SUM(K31:K32)</f>
        <v>10854980</v>
      </c>
      <c r="L33" s="768"/>
      <c r="M33" s="652">
        <f>SUM(M31:M32)</f>
        <v>0</v>
      </c>
      <c r="N33" s="707"/>
      <c r="O33" s="652">
        <f>SUM(O31:O32)</f>
        <v>-2469852</v>
      </c>
      <c r="P33" s="707"/>
      <c r="Q33" s="652">
        <f>SUM(Q31:Q32)</f>
        <v>-2469852</v>
      </c>
      <c r="R33" s="707"/>
      <c r="S33" s="652">
        <f>SUM(S31:S32)</f>
        <v>2957638</v>
      </c>
      <c r="T33" s="768"/>
      <c r="U33" s="652">
        <f>SUM(U31:U32)</f>
        <v>1496568</v>
      </c>
      <c r="V33" s="768"/>
      <c r="W33" s="652">
        <f>SUM(W31:W32)</f>
        <v>4454206</v>
      </c>
      <c r="X33" s="768"/>
      <c r="Y33" s="652">
        <f>SUM(Y31:Y32)</f>
        <v>2957638</v>
      </c>
      <c r="Z33" s="644"/>
      <c r="AA33" s="652">
        <f>SUM(AA31:AA32)</f>
        <v>7411844</v>
      </c>
      <c r="AB33" s="644">
        <f>Summary!O28</f>
        <v>2957638</v>
      </c>
      <c r="AC33" s="627" t="b">
        <f>Y33=AB33</f>
        <v>1</v>
      </c>
      <c r="AD33" s="659"/>
      <c r="AF33" s="652">
        <f>SUM(AF31:AF32)</f>
        <v>54797040</v>
      </c>
    </row>
    <row r="34" spans="1:32" ht="6" customHeight="1">
      <c r="B34" s="670"/>
      <c r="C34" s="646"/>
      <c r="D34" s="646"/>
      <c r="E34" s="646"/>
      <c r="F34" s="646"/>
      <c r="G34" s="646"/>
      <c r="H34" s="638"/>
      <c r="I34" s="646"/>
      <c r="J34" s="638"/>
      <c r="K34" s="657"/>
      <c r="L34" s="657"/>
      <c r="M34" s="657"/>
      <c r="N34" s="771"/>
      <c r="O34" s="771"/>
      <c r="P34" s="771"/>
      <c r="Q34" s="771"/>
      <c r="R34" s="771"/>
      <c r="S34" s="771"/>
      <c r="T34" s="657"/>
      <c r="U34" s="657"/>
      <c r="V34" s="657"/>
      <c r="W34" s="657"/>
      <c r="X34" s="657"/>
      <c r="Y34" s="657"/>
      <c r="Z34" s="644"/>
      <c r="AA34" s="644">
        <f t="shared" si="8"/>
        <v>0</v>
      </c>
      <c r="AB34" s="644"/>
      <c r="AD34" s="670"/>
      <c r="AF34" s="644"/>
    </row>
    <row r="35" spans="1:32" ht="15">
      <c r="A35" s="659" t="s">
        <v>483</v>
      </c>
      <c r="B35" s="677"/>
      <c r="C35" s="660">
        <f>C27+C33</f>
        <v>1064066</v>
      </c>
      <c r="D35" s="664"/>
      <c r="E35" s="660">
        <f>E27+E33</f>
        <v>1080</v>
      </c>
      <c r="F35" s="661"/>
      <c r="G35" s="660">
        <f>G27+G33</f>
        <v>0</v>
      </c>
      <c r="H35" s="672"/>
      <c r="I35" s="660">
        <f>I27+I33</f>
        <v>294428</v>
      </c>
      <c r="J35" s="672"/>
      <c r="K35" s="652">
        <f>SUM(K27,K33)</f>
        <v>93298165</v>
      </c>
      <c r="L35" s="710"/>
      <c r="M35" s="652">
        <f>M27+M33</f>
        <v>-109892160</v>
      </c>
      <c r="N35" s="771"/>
      <c r="O35" s="652">
        <f>O27+O33</f>
        <v>-2469852</v>
      </c>
      <c r="P35" s="771"/>
      <c r="Q35" s="652">
        <f>Q27+Q33</f>
        <v>-12129452</v>
      </c>
      <c r="R35" s="771"/>
      <c r="S35" s="652">
        <f>S27+S33</f>
        <v>-116594122</v>
      </c>
      <c r="T35" s="772"/>
      <c r="U35" s="652">
        <f>U27+U33</f>
        <v>1496568</v>
      </c>
      <c r="V35" s="772"/>
      <c r="W35" s="652">
        <f>W27+W33</f>
        <v>-115097554</v>
      </c>
      <c r="X35" s="772"/>
      <c r="Y35" s="652">
        <f>Y27+Y33</f>
        <v>2957638</v>
      </c>
      <c r="Z35" s="663"/>
      <c r="AA35" s="652">
        <f>AA27+AA33</f>
        <v>-112139916</v>
      </c>
      <c r="AB35" s="644">
        <f>Summary!O23</f>
        <v>-115097554</v>
      </c>
      <c r="AC35" s="627" t="b">
        <f t="shared" ref="AC35" si="9">W35=AB35</f>
        <v>1</v>
      </c>
      <c r="AD35" s="671" t="b">
        <f>AA35=Summary!O30</f>
        <v>1</v>
      </c>
      <c r="AF35" s="652">
        <f>AF27+AF33</f>
        <v>409037040</v>
      </c>
    </row>
    <row r="36" spans="1:32" ht="6" customHeight="1">
      <c r="A36" s="659"/>
      <c r="B36" s="670"/>
      <c r="C36" s="664"/>
      <c r="D36" s="664"/>
      <c r="E36" s="664"/>
      <c r="F36" s="661"/>
      <c r="G36" s="664"/>
      <c r="H36" s="672"/>
      <c r="I36" s="664"/>
      <c r="J36" s="672"/>
      <c r="K36" s="663"/>
      <c r="L36" s="710"/>
      <c r="M36" s="663"/>
      <c r="N36" s="771"/>
      <c r="O36" s="771"/>
      <c r="P36" s="771"/>
      <c r="Q36" s="771"/>
      <c r="R36" s="771"/>
      <c r="S36" s="771"/>
      <c r="T36" s="772"/>
      <c r="U36" s="663"/>
      <c r="V36" s="772"/>
      <c r="W36" s="663"/>
      <c r="X36" s="772"/>
      <c r="Y36" s="663"/>
      <c r="Z36" s="657"/>
      <c r="AA36" s="657"/>
      <c r="AD36" s="671"/>
      <c r="AF36" s="644"/>
    </row>
    <row r="37" spans="1:32" ht="15">
      <c r="A37" s="659" t="s">
        <v>557</v>
      </c>
      <c r="B37" s="670"/>
      <c r="C37" s="664"/>
      <c r="D37" s="664"/>
      <c r="E37" s="664"/>
      <c r="F37" s="661"/>
      <c r="G37" s="664"/>
      <c r="H37" s="672"/>
      <c r="I37" s="664"/>
      <c r="J37" s="672"/>
      <c r="K37" s="663"/>
      <c r="L37" s="710"/>
      <c r="M37" s="663"/>
      <c r="N37" s="771"/>
      <c r="O37" s="771"/>
      <c r="P37" s="771"/>
      <c r="Q37" s="771"/>
      <c r="R37" s="771"/>
      <c r="S37" s="771"/>
      <c r="T37" s="772"/>
      <c r="U37" s="663"/>
      <c r="V37" s="772"/>
      <c r="W37" s="657"/>
      <c r="X37" s="772"/>
      <c r="Y37" s="786">
        <f>E35/SUM(E35:G35)</f>
        <v>1</v>
      </c>
      <c r="Z37" s="663"/>
      <c r="AA37"/>
      <c r="AD37" s="671"/>
      <c r="AF37" s="644"/>
    </row>
    <row r="38" spans="1:32" ht="6" customHeight="1">
      <c r="B38" s="670"/>
      <c r="E38" s="638"/>
      <c r="F38" s="638"/>
      <c r="G38" s="638"/>
      <c r="H38" s="638"/>
      <c r="I38" s="638"/>
      <c r="J38" s="638"/>
      <c r="K38" s="638"/>
      <c r="L38" s="638"/>
      <c r="M38" s="638"/>
      <c r="N38"/>
      <c r="O38"/>
      <c r="P38"/>
      <c r="Q38"/>
      <c r="R38"/>
      <c r="S38"/>
      <c r="T38" s="638"/>
      <c r="U38" s="638"/>
      <c r="V38" s="638"/>
      <c r="X38" s="638"/>
      <c r="Z38" s="663"/>
      <c r="AA38" s="663"/>
      <c r="AD38" s="670"/>
      <c r="AF38" s="644"/>
    </row>
    <row r="39" spans="1:32" ht="15">
      <c r="A39" s="676" t="s">
        <v>558</v>
      </c>
      <c r="B39" s="670"/>
      <c r="C39" s="678"/>
      <c r="D39" s="679"/>
      <c r="E39" s="678"/>
      <c r="F39" s="678"/>
      <c r="G39" s="678"/>
      <c r="H39" s="678"/>
      <c r="I39" s="678"/>
      <c r="J39" s="678"/>
      <c r="K39" s="678"/>
      <c r="L39" s="678"/>
      <c r="M39" s="678"/>
      <c r="N39" s="678"/>
      <c r="O39" s="678"/>
      <c r="P39" s="678"/>
      <c r="Q39" s="678"/>
      <c r="R39" s="678"/>
      <c r="S39" s="678"/>
      <c r="T39" s="678"/>
      <c r="U39" s="678"/>
      <c r="V39" s="678"/>
      <c r="W39" s="679"/>
      <c r="X39" s="678"/>
      <c r="Y39" s="679"/>
      <c r="Z39" s="675"/>
      <c r="AA39" s="675"/>
      <c r="AD39" s="677"/>
    </row>
    <row r="40" spans="1:32" ht="15">
      <c r="A40" s="627" t="s">
        <v>559</v>
      </c>
      <c r="B40" s="670"/>
      <c r="C40" s="680">
        <v>22000</v>
      </c>
      <c r="E40" s="706"/>
      <c r="F40" s="638"/>
      <c r="H40" s="638"/>
      <c r="I40" s="638"/>
      <c r="J40" s="638"/>
      <c r="K40" s="638"/>
      <c r="L40" s="638"/>
      <c r="M40" s="638"/>
      <c r="N40"/>
      <c r="O40"/>
      <c r="P40"/>
      <c r="Q40"/>
      <c r="R40"/>
      <c r="S40"/>
      <c r="T40" s="638"/>
      <c r="U40" s="638"/>
      <c r="V40" s="638"/>
      <c r="X40" s="638"/>
      <c r="AD40" s="670"/>
    </row>
    <row r="41" spans="1:32" ht="15">
      <c r="A41" s="627" t="s">
        <v>657</v>
      </c>
      <c r="B41" s="670"/>
      <c r="C41" s="680">
        <f>ROUND(125000-'NOFA Budget'!$M$13,0)</f>
        <v>101752</v>
      </c>
      <c r="E41" s="681"/>
      <c r="F41" s="638"/>
      <c r="G41" s="638"/>
      <c r="H41" s="638"/>
      <c r="I41" s="638"/>
      <c r="J41" s="638"/>
      <c r="K41" s="638"/>
      <c r="L41" s="638"/>
      <c r="M41" s="638"/>
      <c r="N41"/>
      <c r="O41"/>
      <c r="P41"/>
      <c r="Q41"/>
      <c r="R41"/>
      <c r="S41"/>
      <c r="T41" s="638"/>
      <c r="U41" s="638"/>
      <c r="V41" s="638"/>
      <c r="X41" s="638"/>
      <c r="AD41" s="670"/>
    </row>
    <row r="42" spans="1:32" ht="15">
      <c r="A42" s="627" t="s">
        <v>641</v>
      </c>
      <c r="B42" s="670"/>
      <c r="C42" s="683">
        <v>0.5</v>
      </c>
      <c r="E42" s="681"/>
      <c r="F42" s="638"/>
      <c r="G42" s="638"/>
      <c r="H42" s="638"/>
      <c r="I42" s="638"/>
      <c r="J42" s="638"/>
      <c r="K42" s="638"/>
      <c r="L42" s="638"/>
      <c r="M42" s="638"/>
      <c r="N42" s="638"/>
      <c r="O42" s="638"/>
      <c r="P42" s="638"/>
      <c r="Q42" s="638"/>
      <c r="R42" s="638"/>
      <c r="S42" s="638"/>
      <c r="T42" s="638"/>
      <c r="U42" s="638"/>
      <c r="V42" s="638"/>
      <c r="X42" s="638"/>
      <c r="AD42" s="670"/>
    </row>
    <row r="43" spans="1:32" ht="15">
      <c r="A43" s="627" t="s">
        <v>614</v>
      </c>
      <c r="B43" s="670"/>
      <c r="C43" s="680">
        <v>328000</v>
      </c>
      <c r="D43" s="702"/>
      <c r="E43" s="681"/>
      <c r="F43" s="638"/>
      <c r="G43" s="638"/>
      <c r="H43" s="638"/>
      <c r="I43" s="638"/>
      <c r="J43" s="638"/>
      <c r="K43" s="638"/>
      <c r="L43" s="638"/>
      <c r="M43" s="638"/>
      <c r="N43" s="638"/>
      <c r="O43" s="638"/>
      <c r="P43" s="638"/>
      <c r="Q43" s="638"/>
      <c r="R43" s="638"/>
      <c r="S43" s="638"/>
      <c r="T43" s="638"/>
      <c r="U43" s="638"/>
      <c r="V43" s="638"/>
      <c r="X43" s="638"/>
    </row>
    <row r="44" spans="1:32" ht="15">
      <c r="A44" s="627" t="s">
        <v>652</v>
      </c>
      <c r="B44" s="670"/>
      <c r="C44" s="704">
        <v>0.05</v>
      </c>
      <c r="D44" s="704"/>
      <c r="E44" s="681"/>
      <c r="F44" s="638"/>
      <c r="G44" s="638"/>
      <c r="H44" s="638"/>
      <c r="I44" s="638"/>
      <c r="J44" s="638"/>
      <c r="K44" s="638"/>
      <c r="L44" s="638"/>
      <c r="M44" s="638"/>
      <c r="N44" s="638"/>
      <c r="O44" s="638"/>
      <c r="P44" s="638"/>
      <c r="Q44" s="638"/>
      <c r="R44" s="638"/>
      <c r="S44" s="638"/>
      <c r="T44" s="638"/>
      <c r="U44" s="638"/>
      <c r="V44" s="638"/>
      <c r="X44" s="638"/>
    </row>
    <row r="45" spans="1:32" ht="15">
      <c r="A45" s="627" t="s">
        <v>653</v>
      </c>
      <c r="B45" s="670"/>
      <c r="C45" s="704">
        <v>0.05</v>
      </c>
      <c r="D45" s="704"/>
      <c r="E45" s="681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U45" s="638"/>
      <c r="V45" s="638"/>
      <c r="X45" s="638"/>
    </row>
    <row r="46" spans="1:32" ht="6" customHeight="1">
      <c r="C46" s="684"/>
      <c r="E46" s="638"/>
      <c r="F46" s="638"/>
      <c r="G46" s="638"/>
      <c r="H46" s="638"/>
      <c r="I46" s="638"/>
      <c r="J46" s="638"/>
      <c r="K46" s="638"/>
      <c r="L46" s="638"/>
      <c r="M46" s="638"/>
      <c r="N46" s="638"/>
      <c r="O46" s="638"/>
      <c r="P46" s="638"/>
      <c r="Q46" s="638"/>
      <c r="R46" s="638"/>
      <c r="S46" s="638"/>
      <c r="T46" s="638"/>
      <c r="U46" s="638"/>
      <c r="V46" s="638"/>
      <c r="X46" s="638"/>
      <c r="AD46" s="670"/>
    </row>
    <row r="47" spans="1:32" ht="15">
      <c r="A47" s="659" t="s">
        <v>562</v>
      </c>
      <c r="E47" s="638"/>
      <c r="F47" s="638"/>
      <c r="G47" s="638"/>
      <c r="H47" s="638"/>
      <c r="I47" s="638"/>
      <c r="J47" s="638"/>
      <c r="K47" s="638"/>
      <c r="L47" s="638"/>
      <c r="M47" s="638"/>
      <c r="N47" s="638"/>
      <c r="O47" s="638"/>
      <c r="P47" s="638"/>
      <c r="Q47" s="638"/>
      <c r="R47" s="638"/>
      <c r="S47" s="638"/>
      <c r="T47" s="638"/>
      <c r="U47" s="638"/>
      <c r="V47" s="638"/>
      <c r="X47" s="638"/>
      <c r="AD47" s="670"/>
    </row>
    <row r="48" spans="1:32">
      <c r="A48" s="627" t="str">
        <f>'Staff Strategy'!A48</f>
        <v>[1] Estimated at $125,000 per unit less estimated acquisition cost per unit of $23,248.</v>
      </c>
      <c r="B48" s="642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8"/>
      <c r="T48" s="638"/>
      <c r="U48" s="638"/>
      <c r="V48" s="638"/>
      <c r="X48" s="638"/>
      <c r="AD48" s="670"/>
    </row>
    <row r="49" spans="1:30">
      <c r="B49" s="642"/>
      <c r="C49" s="627"/>
      <c r="E49" s="638"/>
      <c r="F49" s="638"/>
      <c r="G49" s="638"/>
      <c r="H49" s="638"/>
      <c r="I49" s="638"/>
      <c r="J49" s="638"/>
      <c r="K49" s="638"/>
      <c r="L49" s="638"/>
      <c r="M49" s="638"/>
      <c r="N49" s="638"/>
      <c r="O49" s="638"/>
      <c r="P49" s="638"/>
      <c r="Q49" s="638"/>
      <c r="R49" s="638"/>
      <c r="S49" s="638"/>
      <c r="T49" s="638"/>
      <c r="U49" s="638"/>
      <c r="V49" s="638"/>
      <c r="X49" s="638"/>
      <c r="AD49" s="670"/>
    </row>
    <row r="50" spans="1:30">
      <c r="A50" s="670"/>
      <c r="D50" s="685"/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U50" s="638"/>
      <c r="V50" s="638"/>
      <c r="X50" s="638"/>
      <c r="AD50" s="670"/>
    </row>
    <row r="51" spans="1:30">
      <c r="A51" s="670"/>
      <c r="D51" s="685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X51" s="638"/>
      <c r="AD51" s="670"/>
    </row>
    <row r="52" spans="1:30">
      <c r="A52" s="670"/>
      <c r="D52" s="685"/>
      <c r="E52" s="638"/>
      <c r="F52" s="638"/>
      <c r="G52" s="638"/>
      <c r="H52" s="638"/>
      <c r="I52" s="638"/>
      <c r="J52" s="638"/>
      <c r="K52" s="638"/>
      <c r="L52" s="638"/>
      <c r="M52" s="638"/>
      <c r="N52" s="638"/>
      <c r="O52" s="638"/>
      <c r="P52" s="638"/>
      <c r="Q52" s="638"/>
      <c r="R52" s="638"/>
      <c r="S52" s="638"/>
      <c r="T52" s="638"/>
      <c r="U52" s="638"/>
      <c r="V52" s="638"/>
      <c r="X52" s="638"/>
      <c r="AD52" s="670"/>
    </row>
    <row r="53" spans="1:30">
      <c r="Z53" s="644"/>
      <c r="AA53" s="644"/>
    </row>
    <row r="54" spans="1:30">
      <c r="Z54" s="644"/>
      <c r="AA54" s="644"/>
    </row>
  </sheetData>
  <sheetProtection algorithmName="SHA-512" hashValue="59TOZ6AjMNQNMukAbR4LyVgifADQt029HlALUZWHbkG3a9llPulbsZFtKXvXf+ZEWxgw8pd1aDaihgTJsPAtQw==" saltValue="ZvMlbCHAGUiboXHze9/Xhg==" spinCount="100000" sheet="1" objects="1" scenarios="1"/>
  <mergeCells count="1">
    <mergeCell ref="W3:Y3"/>
  </mergeCells>
  <printOptions horizontalCentered="1"/>
  <pageMargins left="0.7" right="0.7" top="0.75" bottom="0.75" header="0.3" footer="0.3"/>
  <pageSetup scale="64" orientation="landscape" r:id="rId1"/>
  <headerFooter>
    <oddHeader>&amp;C&amp;16Attachment B (to Staff's Supplemental Report): Summary Table of Affordable Housing Outcomes Under CWN June Proposal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S54"/>
  <sheetViews>
    <sheetView showGridLines="0" view="pageBreakPreview" zoomScaleNormal="100" zoomScaleSheetLayoutView="100" workbookViewId="0">
      <pane xSplit="3" ySplit="4" topLeftCell="D5" activePane="bottomRight" state="frozen"/>
      <selection activeCell="AB1" sqref="AB1:AC1048576"/>
      <selection pane="topRight" activeCell="AB1" sqref="AB1:AC1048576"/>
      <selection pane="bottomLeft" activeCell="AB1" sqref="AB1:AC1048576"/>
      <selection pane="bottomRight" sqref="A1:XFD1048576"/>
    </sheetView>
  </sheetViews>
  <sheetFormatPr defaultColWidth="9.140625" defaultRowHeight="13.5"/>
  <cols>
    <col min="1" max="1" width="38.7109375" style="627" customWidth="1"/>
    <col min="2" max="2" width="1" style="627" customWidth="1"/>
    <col min="3" max="3" width="10" style="638" bestFit="1" customWidth="1"/>
    <col min="4" max="4" width="1" style="627" customWidth="1"/>
    <col min="5" max="5" width="5.5703125" style="627" bestFit="1" customWidth="1"/>
    <col min="6" max="6" width="1" style="627" customWidth="1"/>
    <col min="7" max="7" width="7.28515625" style="627" bestFit="1" customWidth="1"/>
    <col min="8" max="8" width="1" style="627" customWidth="1"/>
    <col min="9" max="9" width="9.42578125" style="627" customWidth="1"/>
    <col min="10" max="10" width="1.140625" style="627" customWidth="1"/>
    <col min="11" max="11" width="8.85546875" style="627" hidden="1" customWidth="1"/>
    <col min="12" max="12" width="2.140625" style="627" hidden="1" customWidth="1"/>
    <col min="13" max="13" width="8.42578125" style="627" hidden="1" customWidth="1"/>
    <col min="14" max="14" width="2.140625" style="627" hidden="1" customWidth="1"/>
    <col min="15" max="15" width="11" style="627" customWidth="1"/>
    <col min="16" max="16" width="2.140625" style="627" bestFit="1" customWidth="1"/>
    <col min="17" max="17" width="9.5703125" style="627" customWidth="1"/>
    <col min="18" max="18" width="2.140625" style="627" bestFit="1" customWidth="1"/>
    <col min="19" max="19" width="7.85546875" style="627" bestFit="1" customWidth="1"/>
    <col min="20" max="20" width="2.140625" style="627" bestFit="1" customWidth="1"/>
    <col min="21" max="21" width="8.85546875" style="627" bestFit="1" customWidth="1"/>
    <col min="22" max="22" width="2.140625" style="627" bestFit="1" customWidth="1"/>
    <col min="23" max="23" width="10.85546875" style="627" bestFit="1" customWidth="1"/>
    <col min="24" max="24" width="2.140625" style="627" bestFit="1" customWidth="1"/>
    <col min="25" max="25" width="8.28515625" style="627" customWidth="1"/>
    <col min="26" max="26" width="2.140625" style="627" bestFit="1" customWidth="1"/>
    <col min="27" max="27" width="7.140625" style="627" customWidth="1"/>
    <col min="28" max="28" width="2.140625" style="627" bestFit="1" customWidth="1"/>
    <col min="29" max="29" width="10.7109375" style="627" bestFit="1" customWidth="1"/>
    <col min="30" max="30" width="2.140625" style="627" bestFit="1" customWidth="1"/>
    <col min="31" max="31" width="9.28515625" style="627" customWidth="1"/>
    <col min="32" max="32" width="2.140625" style="627" customWidth="1"/>
    <col min="33" max="33" width="9.85546875" style="627" bestFit="1" customWidth="1"/>
    <col min="34" max="34" width="7.140625" style="627" bestFit="1" customWidth="1"/>
    <col min="35" max="35" width="14.5703125" style="627" customWidth="1"/>
    <col min="36" max="36" width="17" style="627" customWidth="1"/>
    <col min="37" max="37" width="14.5703125" style="627" bestFit="1" customWidth="1"/>
    <col min="38" max="38" width="14.5703125" style="627" customWidth="1"/>
    <col min="39" max="39" width="11" style="627" customWidth="1"/>
    <col min="40" max="40" width="3.5703125" style="627" customWidth="1"/>
    <col min="41" max="41" width="11.28515625" style="627" customWidth="1"/>
    <col min="42" max="42" width="3.5703125" style="627" customWidth="1"/>
    <col min="43" max="43" width="12.5703125" style="627" bestFit="1" customWidth="1"/>
    <col min="44" max="44" width="13.7109375" style="627" bestFit="1" customWidth="1"/>
    <col min="45" max="45" width="9" style="627" bestFit="1" customWidth="1"/>
    <col min="46" max="16384" width="9.140625" style="627"/>
  </cols>
  <sheetData>
    <row r="1" spans="1:45" ht="15">
      <c r="A1" s="621" t="s">
        <v>533</v>
      </c>
      <c r="B1" s="621"/>
      <c r="C1" s="622" t="s">
        <v>534</v>
      </c>
      <c r="D1" s="622"/>
      <c r="E1" s="622" t="s">
        <v>535</v>
      </c>
      <c r="F1" s="622"/>
      <c r="G1" s="622" t="s">
        <v>536</v>
      </c>
      <c r="H1" s="622"/>
      <c r="I1" s="622" t="s">
        <v>537</v>
      </c>
      <c r="J1" s="622"/>
      <c r="K1" s="622" t="s">
        <v>538</v>
      </c>
      <c r="L1" s="622"/>
      <c r="M1" s="622" t="s">
        <v>539</v>
      </c>
      <c r="N1" s="622"/>
      <c r="O1" s="622" t="s">
        <v>538</v>
      </c>
      <c r="P1" s="622"/>
      <c r="Q1" s="622" t="s">
        <v>539</v>
      </c>
      <c r="R1" s="622"/>
      <c r="S1" s="622" t="s">
        <v>540</v>
      </c>
      <c r="T1" s="622"/>
      <c r="U1" s="622" t="s">
        <v>541</v>
      </c>
      <c r="V1" s="622"/>
      <c r="W1" s="622" t="s">
        <v>542</v>
      </c>
      <c r="X1" s="622"/>
      <c r="Y1" s="622" t="s">
        <v>543</v>
      </c>
      <c r="Z1" s="622"/>
      <c r="AA1" s="622" t="s">
        <v>544</v>
      </c>
      <c r="AB1" s="622"/>
      <c r="AC1" s="622" t="s">
        <v>545</v>
      </c>
      <c r="AD1" s="622"/>
      <c r="AE1" s="622" t="s">
        <v>611</v>
      </c>
      <c r="AF1" s="622"/>
      <c r="AG1" s="622" t="s">
        <v>611</v>
      </c>
      <c r="AJ1" s="621"/>
      <c r="AM1" s="694">
        <v>0.15</v>
      </c>
      <c r="AO1" s="694">
        <v>0.4</v>
      </c>
    </row>
    <row r="2" spans="1:45" ht="6" customHeight="1">
      <c r="AF2" s="625"/>
      <c r="AG2" s="625"/>
    </row>
    <row r="3" spans="1:45" ht="15">
      <c r="C3" s="628" t="s">
        <v>563</v>
      </c>
      <c r="D3" s="629"/>
      <c r="E3" s="629"/>
      <c r="F3" s="629"/>
      <c r="G3" s="629"/>
      <c r="H3" s="629"/>
      <c r="I3" s="630"/>
      <c r="K3" s="686" t="s">
        <v>592</v>
      </c>
      <c r="L3" s="687"/>
      <c r="M3" s="687"/>
      <c r="N3" s="687"/>
      <c r="O3" s="688" t="s">
        <v>592</v>
      </c>
      <c r="P3" s="687"/>
      <c r="Q3" s="686"/>
      <c r="S3" s="686" t="s">
        <v>613</v>
      </c>
      <c r="T3" s="687"/>
      <c r="U3" s="687"/>
      <c r="V3" s="687"/>
      <c r="W3" s="687"/>
      <c r="Y3" s="686" t="s">
        <v>656</v>
      </c>
      <c r="Z3" s="630"/>
      <c r="AA3" s="686"/>
      <c r="AC3" s="865" t="s">
        <v>612</v>
      </c>
      <c r="AD3" s="866"/>
      <c r="AE3" s="866"/>
      <c r="AF3" s="794"/>
      <c r="AG3" s="794"/>
      <c r="AI3" s="727">
        <f>O21+Q21+S21+U21-AO21</f>
        <v>206602.80000000005</v>
      </c>
      <c r="AJ3" s="727">
        <f>AI3*0.5</f>
        <v>103301.40000000002</v>
      </c>
      <c r="AK3" s="727">
        <f>AJ3+AA21</f>
        <v>637499.4</v>
      </c>
    </row>
    <row r="4" spans="1:45" ht="90">
      <c r="A4" s="621" t="s">
        <v>60</v>
      </c>
      <c r="B4" s="689"/>
      <c r="C4" s="622" t="s">
        <v>547</v>
      </c>
      <c r="D4" s="634"/>
      <c r="E4" s="634" t="s">
        <v>548</v>
      </c>
      <c r="F4" s="634"/>
      <c r="G4" s="634" t="s">
        <v>332</v>
      </c>
      <c r="H4" s="634"/>
      <c r="I4" s="634" t="s">
        <v>660</v>
      </c>
      <c r="J4" s="635"/>
      <c r="K4" s="634" t="s">
        <v>662</v>
      </c>
      <c r="L4" s="634" t="s">
        <v>368</v>
      </c>
      <c r="M4" s="634" t="s">
        <v>661</v>
      </c>
      <c r="N4" s="634" t="s">
        <v>551</v>
      </c>
      <c r="O4" s="634" t="s">
        <v>663</v>
      </c>
      <c r="P4" s="634" t="s">
        <v>368</v>
      </c>
      <c r="Q4" s="634" t="s">
        <v>639</v>
      </c>
      <c r="R4" s="634" t="s">
        <v>368</v>
      </c>
      <c r="S4" s="634" t="s">
        <v>651</v>
      </c>
      <c r="T4" s="634" t="s">
        <v>368</v>
      </c>
      <c r="U4" s="634" t="s">
        <v>654</v>
      </c>
      <c r="V4" s="634" t="s">
        <v>551</v>
      </c>
      <c r="W4" s="634" t="s">
        <v>564</v>
      </c>
      <c r="X4" s="634" t="s">
        <v>368</v>
      </c>
      <c r="Y4" s="634" t="s">
        <v>650</v>
      </c>
      <c r="Z4" s="634" t="s">
        <v>368</v>
      </c>
      <c r="AA4" s="634" t="s">
        <v>312</v>
      </c>
      <c r="AB4" s="634" t="s">
        <v>551</v>
      </c>
      <c r="AC4" s="634" t="s">
        <v>388</v>
      </c>
      <c r="AD4" s="634" t="s">
        <v>368</v>
      </c>
      <c r="AE4" s="634" t="s">
        <v>450</v>
      </c>
      <c r="AF4" s="634" t="s">
        <v>551</v>
      </c>
      <c r="AG4" s="634" t="str">
        <f>Summary!$A$30</f>
        <v>Total Net City Fund Impact (AHTF + Other)</v>
      </c>
      <c r="AH4" s="634"/>
      <c r="AI4" s="634" t="s">
        <v>596</v>
      </c>
      <c r="AJ4" s="621" t="s">
        <v>232</v>
      </c>
      <c r="AK4" s="634" t="s">
        <v>594</v>
      </c>
      <c r="AL4" s="634" t="s">
        <v>595</v>
      </c>
      <c r="AM4" s="634" t="s">
        <v>579</v>
      </c>
      <c r="AO4" s="634" t="s">
        <v>572</v>
      </c>
      <c r="AQ4" s="634" t="s">
        <v>565</v>
      </c>
    </row>
    <row r="5" spans="1:45" ht="6" customHeight="1">
      <c r="A5" s="624"/>
      <c r="B5" s="624"/>
      <c r="C5" s="636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Z5" s="624"/>
      <c r="AA5" s="624"/>
      <c r="AB5" s="624"/>
      <c r="AC5" s="624"/>
      <c r="AD5" s="624"/>
      <c r="AE5" s="624"/>
      <c r="AF5" s="624"/>
      <c r="AG5" s="624"/>
      <c r="AJ5" s="624"/>
      <c r="AM5" s="624"/>
      <c r="AO5" s="624"/>
    </row>
    <row r="6" spans="1:45" ht="18.75">
      <c r="A6" s="726" t="s">
        <v>679</v>
      </c>
      <c r="E6" s="639"/>
      <c r="F6" s="639"/>
      <c r="G6" s="639"/>
      <c r="H6" s="639"/>
      <c r="I6" s="639"/>
      <c r="J6" s="639"/>
      <c r="K6" s="640"/>
      <c r="L6" s="640"/>
      <c r="M6" s="639"/>
      <c r="N6" s="640"/>
      <c r="O6" s="640"/>
      <c r="P6" s="639"/>
      <c r="Q6" s="639"/>
      <c r="R6" s="640"/>
      <c r="S6" s="639"/>
      <c r="T6" s="640"/>
      <c r="U6" s="639"/>
      <c r="V6" s="640"/>
      <c r="W6" s="639"/>
      <c r="X6" s="640"/>
      <c r="Y6" s="639"/>
      <c r="Z6" s="640"/>
      <c r="AA6" s="639"/>
      <c r="AB6" s="640"/>
      <c r="AD6" s="640"/>
      <c r="AJ6" s="637"/>
      <c r="AM6" s="639"/>
      <c r="AO6" s="639"/>
      <c r="AQ6" s="690">
        <v>79</v>
      </c>
      <c r="AR6" s="627" t="s">
        <v>566</v>
      </c>
    </row>
    <row r="7" spans="1:45" ht="6" customHeight="1">
      <c r="A7" s="637"/>
      <c r="E7" s="639"/>
      <c r="F7" s="639"/>
      <c r="G7" s="639"/>
      <c r="H7" s="639"/>
      <c r="I7" s="639"/>
      <c r="J7" s="639"/>
      <c r="K7" s="640"/>
      <c r="L7" s="640"/>
      <c r="M7" s="639"/>
      <c r="N7" s="640"/>
      <c r="O7" s="640"/>
      <c r="P7" s="639"/>
      <c r="Q7" s="639"/>
      <c r="R7" s="640"/>
      <c r="S7" s="639"/>
      <c r="T7" s="640"/>
      <c r="U7" s="639"/>
      <c r="V7" s="640"/>
      <c r="W7" s="639"/>
      <c r="X7" s="640"/>
      <c r="Y7" s="639"/>
      <c r="Z7" s="640"/>
      <c r="AA7" s="639"/>
      <c r="AB7" s="640"/>
      <c r="AD7" s="640"/>
      <c r="AF7" s="644"/>
      <c r="AG7" s="644"/>
      <c r="AJ7" s="637"/>
      <c r="AM7" s="639"/>
      <c r="AO7" s="639"/>
    </row>
    <row r="8" spans="1:45" ht="15">
      <c r="A8" s="637" t="s">
        <v>667</v>
      </c>
      <c r="E8" s="639"/>
      <c r="F8" s="639"/>
      <c r="G8" s="639"/>
      <c r="H8" s="639"/>
      <c r="I8" s="639"/>
      <c r="J8" s="639"/>
      <c r="K8" s="640"/>
      <c r="L8" s="640"/>
      <c r="M8" s="639"/>
      <c r="N8" s="640"/>
      <c r="O8" s="640"/>
      <c r="P8" s="639"/>
      <c r="Q8" s="639"/>
      <c r="R8" s="640"/>
      <c r="S8" s="639"/>
      <c r="T8" s="640"/>
      <c r="U8" s="639"/>
      <c r="V8" s="640"/>
      <c r="W8" s="639"/>
      <c r="X8" s="640"/>
      <c r="Y8" s="639"/>
      <c r="Z8" s="640"/>
      <c r="AA8" s="639"/>
      <c r="AB8" s="640"/>
      <c r="AD8" s="640"/>
      <c r="AJ8" s="637"/>
      <c r="AM8" s="639"/>
      <c r="AO8" s="639"/>
    </row>
    <row r="9" spans="1:45">
      <c r="A9" s="709" t="str">
        <f>Sites!A5</f>
        <v>Wood Street</v>
      </c>
      <c r="B9" s="642"/>
      <c r="C9" s="646">
        <f>SUMIF(Sites!$A:$A,$A9,Sites!$I:$I)</f>
        <v>147081</v>
      </c>
      <c r="D9" s="643"/>
      <c r="E9" s="646">
        <f>SUMIF(Sites!$A:$A,$A9,Sites!$DA:$DA)</f>
        <v>292</v>
      </c>
      <c r="F9" s="643"/>
      <c r="G9" s="646">
        <f>SUMIF(Sites!$A:$A,$A9,Sites!$DB:$DB)</f>
        <v>0</v>
      </c>
      <c r="H9" s="643"/>
      <c r="I9" s="643">
        <v>0</v>
      </c>
      <c r="J9" s="643"/>
      <c r="K9" s="644">
        <f>SUMIF(Sites!$A:$A,$A9,Sites!$AG:$AG)</f>
        <v>11766480</v>
      </c>
      <c r="L9" s="643"/>
      <c r="M9" s="644">
        <v>0</v>
      </c>
      <c r="N9" s="691"/>
      <c r="O9" s="644">
        <f>SUM(K9:M9)</f>
        <v>11766480</v>
      </c>
      <c r="P9" s="707"/>
      <c r="Q9" s="644">
        <f t="shared" ref="Q9:Q16" si="0">-C$42*$E9</f>
        <v>-29711584</v>
      </c>
      <c r="R9" s="707"/>
      <c r="S9" s="644">
        <f>0</f>
        <v>0</v>
      </c>
      <c r="T9" s="707"/>
      <c r="U9" s="644">
        <f t="shared" ref="U9:U16" si="1">-IF(E9+G9&gt;$AQ$6,$C$47*AQ9,0)</f>
        <v>-4788800</v>
      </c>
      <c r="V9" s="707"/>
      <c r="W9" s="644">
        <f>Q9+S9+U9</f>
        <v>-34500384</v>
      </c>
      <c r="X9" s="707"/>
      <c r="Y9" s="644">
        <v>0</v>
      </c>
      <c r="Z9" s="707"/>
      <c r="AA9" s="644">
        <v>0</v>
      </c>
      <c r="AB9" s="707"/>
      <c r="AC9" s="644">
        <f>SUM(W9:AA9)</f>
        <v>-34500384</v>
      </c>
      <c r="AD9" s="707"/>
      <c r="AE9" s="644">
        <v>0</v>
      </c>
      <c r="AF9" s="644"/>
      <c r="AG9" s="644">
        <f>AC9+AE9</f>
        <v>-34500384</v>
      </c>
      <c r="AH9" s="644" t="b">
        <f>AI9=(AC9+AK9)</f>
        <v>1</v>
      </c>
      <c r="AI9" s="644">
        <f>SUMIF(Sites!$A:$A,$A9,Sites!$DR:$DR)</f>
        <v>-34500384</v>
      </c>
      <c r="AJ9" s="641"/>
      <c r="AK9" s="644">
        <f>IF(O9+Q9-AO9&gt;0,AO9,0)</f>
        <v>0</v>
      </c>
      <c r="AL9" s="644">
        <f>AC9+AK9</f>
        <v>-34500384</v>
      </c>
      <c r="AM9" s="644">
        <v>0</v>
      </c>
      <c r="AO9" s="644">
        <v>0</v>
      </c>
      <c r="AQ9" s="644">
        <f>(E9+G9)*$C$45</f>
        <v>95776000</v>
      </c>
      <c r="AS9" s="692"/>
    </row>
    <row r="10" spans="1:45">
      <c r="A10" s="709" t="str">
        <f>Sites!A8</f>
        <v>Piedmont Ave/Howe St Parking</v>
      </c>
      <c r="B10" s="642"/>
      <c r="C10" s="646">
        <f>SUMIF(Sites!$A:$A,$A10,Sites!$I:$I)</f>
        <v>43532</v>
      </c>
      <c r="D10" s="643"/>
      <c r="E10" s="646">
        <f>SUMIF(Sites!$A:$A,$A10,Sites!$DA:$DA)</f>
        <v>97</v>
      </c>
      <c r="F10" s="643"/>
      <c r="G10" s="646">
        <f>SUMIF(Sites!$A:$A,$A10,Sites!$DB:$DB)</f>
        <v>0</v>
      </c>
      <c r="H10" s="643"/>
      <c r="I10" s="643">
        <v>0</v>
      </c>
      <c r="J10" s="643"/>
      <c r="K10" s="644">
        <f>SUMIF(Sites!$A:$A,$A10,Sites!$AG:$AG)</f>
        <v>15236200</v>
      </c>
      <c r="L10" s="643"/>
      <c r="M10" s="644">
        <v>0</v>
      </c>
      <c r="N10" s="691"/>
      <c r="O10" s="644">
        <f>SUM(K10:M10)</f>
        <v>15236200</v>
      </c>
      <c r="P10" s="707"/>
      <c r="Q10" s="644">
        <f t="shared" si="0"/>
        <v>-9869944</v>
      </c>
      <c r="R10" s="707"/>
      <c r="S10" s="644">
        <f>0</f>
        <v>0</v>
      </c>
      <c r="T10" s="707"/>
      <c r="U10" s="644">
        <f t="shared" si="1"/>
        <v>-1590800</v>
      </c>
      <c r="V10" s="707"/>
      <c r="W10" s="644">
        <f>Q10+S10+U10</f>
        <v>-11460744</v>
      </c>
      <c r="X10" s="707"/>
      <c r="Y10" s="644">
        <v>0</v>
      </c>
      <c r="Z10" s="707"/>
      <c r="AA10" s="644">
        <v>0</v>
      </c>
      <c r="AB10" s="707"/>
      <c r="AC10" s="644">
        <f>SUM(W10:AA10)</f>
        <v>-11460744</v>
      </c>
      <c r="AD10" s="707"/>
      <c r="AE10" s="644">
        <v>0</v>
      </c>
      <c r="AF10" s="644"/>
      <c r="AG10" s="644">
        <f t="shared" ref="AG10:AG16" si="2">AC10+AE10</f>
        <v>-11460744</v>
      </c>
      <c r="AH10" s="644" t="b">
        <f>AI10=(AC10+AK10)</f>
        <v>1</v>
      </c>
      <c r="AI10" s="644">
        <f>SUMIF(Sites!$A:$A,$A10,Sites!$DR:$DR)</f>
        <v>-11460744</v>
      </c>
      <c r="AJ10" s="641"/>
      <c r="AK10" s="644">
        <f>IF(O10+Q10-AO10&gt;0,AO10,0)</f>
        <v>0</v>
      </c>
      <c r="AL10" s="644">
        <f>AC10+AK10</f>
        <v>-11460744</v>
      </c>
      <c r="AM10" s="644">
        <v>0</v>
      </c>
      <c r="AO10" s="644">
        <v>0</v>
      </c>
      <c r="AQ10" s="644">
        <f t="shared" ref="AQ10:AQ16" si="3">(E10+G10)*$C$45</f>
        <v>31816000</v>
      </c>
    </row>
    <row r="11" spans="1:45">
      <c r="A11" s="709" t="str">
        <f>Sites!A10</f>
        <v xml:space="preserve">27th &amp; Foothill </v>
      </c>
      <c r="C11" s="646">
        <f>SUMIF(Sites!$A:$A,$A11,Sites!$I:$I)</f>
        <v>22581</v>
      </c>
      <c r="D11" s="642"/>
      <c r="E11" s="646">
        <f>SUMIF(Sites!$A:$A,$A11,Sites!$DA:$DA)</f>
        <v>51</v>
      </c>
      <c r="F11" s="643"/>
      <c r="G11" s="646">
        <f>SUMIF(Sites!$A:$A,$A11,Sites!$DB:$DB)</f>
        <v>0</v>
      </c>
      <c r="H11" s="643"/>
      <c r="I11" s="643">
        <v>0</v>
      </c>
      <c r="J11" s="643"/>
      <c r="K11" s="644">
        <f>SUMIF(Sites!$A:$A,$A11,Sites!$AG:$AG)</f>
        <v>1016145</v>
      </c>
      <c r="L11" s="643"/>
      <c r="M11" s="644">
        <f>IF($M$52=1,AM11,0)</f>
        <v>0</v>
      </c>
      <c r="N11" s="643"/>
      <c r="O11" s="644">
        <f>SUM(K11:N11)</f>
        <v>1016145</v>
      </c>
      <c r="P11" s="707"/>
      <c r="Q11" s="644">
        <f t="shared" si="0"/>
        <v>-5189352</v>
      </c>
      <c r="R11" s="707"/>
      <c r="S11" s="644">
        <f>0</f>
        <v>0</v>
      </c>
      <c r="T11" s="707"/>
      <c r="U11" s="644">
        <f t="shared" si="1"/>
        <v>0</v>
      </c>
      <c r="V11" s="707"/>
      <c r="W11" s="644">
        <f>Q11+S11+U11</f>
        <v>-5189352</v>
      </c>
      <c r="X11" s="707"/>
      <c r="Y11" s="644">
        <f>IF($M$52=1,AY11,0)</f>
        <v>0</v>
      </c>
      <c r="Z11" s="707"/>
      <c r="AA11" s="644">
        <v>0</v>
      </c>
      <c r="AB11" s="707"/>
      <c r="AC11" s="644">
        <f>SUM(W11:AA11)</f>
        <v>-5189352</v>
      </c>
      <c r="AD11" s="707"/>
      <c r="AE11" s="644">
        <v>0</v>
      </c>
      <c r="AF11" s="644"/>
      <c r="AG11" s="644">
        <f t="shared" si="2"/>
        <v>-5189352</v>
      </c>
      <c r="AH11" s="644" t="b">
        <f>AI11=(AC11+AK11)</f>
        <v>1</v>
      </c>
      <c r="AI11" s="644">
        <f>SUMIF(Sites!$A:$A,$A11,Sites!$DR:$DR)</f>
        <v>-5189352</v>
      </c>
      <c r="AJ11" s="641"/>
      <c r="AK11" s="644">
        <f>IF(O11+Q11-AO11&gt;0,AO11,0)</f>
        <v>0</v>
      </c>
      <c r="AL11" s="644">
        <f>AC11+AK11</f>
        <v>-5189352</v>
      </c>
      <c r="AM11" s="644">
        <v>0</v>
      </c>
      <c r="AO11" s="644">
        <f>(AO$1-AM$1)*SUM($E11:$G11)*$C$42</f>
        <v>1297338</v>
      </c>
      <c r="AP11" s="699"/>
      <c r="AQ11" s="644">
        <f t="shared" si="3"/>
        <v>16728000</v>
      </c>
      <c r="AR11" s="647">
        <f>AC11+AK11</f>
        <v>-5189352</v>
      </c>
    </row>
    <row r="12" spans="1:45">
      <c r="A12" s="709" t="str">
        <f>Sites!A11</f>
        <v xml:space="preserve">36th &amp; Foothill </v>
      </c>
      <c r="C12" s="646">
        <f>SUMIF(Sites!$A:$A,$A12,Sites!$I:$I)</f>
        <v>34164</v>
      </c>
      <c r="D12" s="642"/>
      <c r="E12" s="646">
        <f>SUMIF(Sites!$A:$A,$A12,Sites!$DA:$DA)</f>
        <v>76</v>
      </c>
      <c r="F12" s="643"/>
      <c r="G12" s="646">
        <f>SUMIF(Sites!$A:$A,$A12,Sites!$DB:$DB)</f>
        <v>0</v>
      </c>
      <c r="H12" s="643"/>
      <c r="I12" s="643">
        <v>0</v>
      </c>
      <c r="J12" s="643"/>
      <c r="K12" s="644">
        <f>SUMIF(Sites!$A:$A,$A12,Sites!$AG:$AG)</f>
        <v>1537380</v>
      </c>
      <c r="L12" s="643"/>
      <c r="M12" s="644">
        <f>IF($M$52=1,AM12,0)</f>
        <v>0</v>
      </c>
      <c r="N12" s="643"/>
      <c r="O12" s="644">
        <f>SUM(K12:N12)</f>
        <v>1537380</v>
      </c>
      <c r="P12" s="707"/>
      <c r="Q12" s="644">
        <f t="shared" si="0"/>
        <v>-7733152</v>
      </c>
      <c r="R12" s="707"/>
      <c r="S12" s="644">
        <f>0</f>
        <v>0</v>
      </c>
      <c r="T12" s="707"/>
      <c r="U12" s="644">
        <f t="shared" si="1"/>
        <v>0</v>
      </c>
      <c r="V12" s="707"/>
      <c r="W12" s="644">
        <f t="shared" ref="W12:W14" si="4">Q12+S12+U12</f>
        <v>-7733152</v>
      </c>
      <c r="X12" s="707"/>
      <c r="Y12" s="644">
        <f>IF($M$52=1,AY12,0)</f>
        <v>0</v>
      </c>
      <c r="Z12" s="707"/>
      <c r="AA12" s="644">
        <v>0</v>
      </c>
      <c r="AB12" s="707"/>
      <c r="AC12" s="644">
        <f>SUM(W12:AA12)</f>
        <v>-7733152</v>
      </c>
      <c r="AD12" s="707"/>
      <c r="AE12" s="644">
        <v>0</v>
      </c>
      <c r="AF12" s="644"/>
      <c r="AG12" s="644">
        <f t="shared" si="2"/>
        <v>-7733152</v>
      </c>
      <c r="AH12" s="644" t="b">
        <f>AI12=(AC12+AK12)</f>
        <v>1</v>
      </c>
      <c r="AI12" s="644">
        <f>SUMIF(Sites!$A:$A,$A12,Sites!$DR:$DR)</f>
        <v>-7733152</v>
      </c>
      <c r="AJ12" s="641"/>
      <c r="AK12" s="644">
        <f>IF(O12+Q12-AO12&gt;0,AO12,0)</f>
        <v>0</v>
      </c>
      <c r="AL12" s="644">
        <f>AC12+AK12</f>
        <v>-7733152</v>
      </c>
      <c r="AM12" s="644">
        <v>0</v>
      </c>
      <c r="AO12" s="644">
        <f>(AO$1-AM$1)*SUM($E12:$G12)*$C$42</f>
        <v>1933288</v>
      </c>
      <c r="AP12" s="699"/>
      <c r="AQ12" s="644">
        <f t="shared" si="3"/>
        <v>24928000</v>
      </c>
      <c r="AR12" s="647">
        <f>AC12+AK12</f>
        <v>-7733152</v>
      </c>
    </row>
    <row r="13" spans="1:45">
      <c r="A13" s="709" t="str">
        <f>Sites!A15</f>
        <v>8280 &amp; 8296 MacArthur</v>
      </c>
      <c r="B13" s="642"/>
      <c r="C13" s="646">
        <f>SUMIF(Sites!$A:$A,$A13,Sites!$I:$I)</f>
        <v>12720</v>
      </c>
      <c r="D13" s="643"/>
      <c r="E13" s="646">
        <f>SUMIF(Sites!$A:$A,$A13,Sites!$DA:$DA)</f>
        <v>8</v>
      </c>
      <c r="F13" s="643"/>
      <c r="G13" s="646">
        <f>SUMIF(Sites!$A:$A,$A13,Sites!$DB:$DB)</f>
        <v>0</v>
      </c>
      <c r="H13" s="643"/>
      <c r="I13" s="643">
        <v>0</v>
      </c>
      <c r="J13" s="643"/>
      <c r="K13" s="644">
        <f>SUMIF(Sites!$A:$A,$A13,Sites!$AG:$AG)</f>
        <v>826800</v>
      </c>
      <c r="L13" s="645"/>
      <c r="M13" s="644">
        <v>0</v>
      </c>
      <c r="N13" s="691"/>
      <c r="O13" s="644">
        <f>SUM(K13:M13)</f>
        <v>826800</v>
      </c>
      <c r="P13" s="707"/>
      <c r="Q13" s="644">
        <f t="shared" si="0"/>
        <v>-814016</v>
      </c>
      <c r="R13" s="707"/>
      <c r="S13" s="644">
        <f>0</f>
        <v>0</v>
      </c>
      <c r="T13" s="707"/>
      <c r="U13" s="644">
        <f t="shared" si="1"/>
        <v>0</v>
      </c>
      <c r="V13" s="707"/>
      <c r="W13" s="644">
        <f t="shared" si="4"/>
        <v>-814016</v>
      </c>
      <c r="X13" s="707"/>
      <c r="Y13" s="644">
        <v>0</v>
      </c>
      <c r="Z13" s="707"/>
      <c r="AA13" s="644">
        <v>0</v>
      </c>
      <c r="AB13" s="707"/>
      <c r="AC13" s="644">
        <f t="shared" ref="AC13:AC14" si="5">SUM(W13:AA13)</f>
        <v>-814016</v>
      </c>
      <c r="AD13" s="707"/>
      <c r="AE13" s="644">
        <v>0</v>
      </c>
      <c r="AF13" s="644"/>
      <c r="AG13" s="644">
        <f t="shared" si="2"/>
        <v>-814016</v>
      </c>
      <c r="AH13" s="644" t="b">
        <f t="shared" ref="AH13:AH14" si="6">AI13=(AC13+AK13)</f>
        <v>1</v>
      </c>
      <c r="AI13" s="644">
        <f>SUMIF(Sites!$A:$A,$A13,Sites!$DR:$DR)</f>
        <v>-814016</v>
      </c>
      <c r="AJ13" s="641"/>
      <c r="AK13" s="644">
        <f t="shared" ref="AK13:AK14" si="7">IF(O13+Q13-AO13&gt;0,AO13,0)</f>
        <v>0</v>
      </c>
      <c r="AL13" s="644">
        <f t="shared" ref="AL13:AL14" si="8">AC13+AK13</f>
        <v>-814016</v>
      </c>
      <c r="AM13" s="644">
        <v>0</v>
      </c>
      <c r="AO13" s="644">
        <v>0</v>
      </c>
      <c r="AQ13" s="644">
        <f t="shared" si="3"/>
        <v>2624000</v>
      </c>
    </row>
    <row r="14" spans="1:45">
      <c r="A14" s="709" t="str">
        <f>Sites!A17</f>
        <v>10451 MacArthur</v>
      </c>
      <c r="B14" s="642"/>
      <c r="C14" s="646">
        <f>SUMIF(Sites!$A:$A,$A14,Sites!$I:$I)</f>
        <v>23000</v>
      </c>
      <c r="D14" s="643"/>
      <c r="E14" s="646">
        <f>SUMIF(Sites!$A:$A,$A14,Sites!$DA:$DA)</f>
        <v>52</v>
      </c>
      <c r="F14" s="643"/>
      <c r="G14" s="646">
        <f>SUMIF(Sites!$A:$A,$A14,Sites!$DB:$DB)</f>
        <v>0</v>
      </c>
      <c r="H14" s="643"/>
      <c r="I14" s="643">
        <v>0</v>
      </c>
      <c r="J14" s="643"/>
      <c r="K14" s="644">
        <f>SUMIF(Sites!$A:$A,$A14,Sites!$AG:$AG)</f>
        <v>1035000</v>
      </c>
      <c r="L14" s="643"/>
      <c r="M14" s="644">
        <v>0</v>
      </c>
      <c r="N14" s="691"/>
      <c r="O14" s="644">
        <f>SUM(K14:M14)</f>
        <v>1035000</v>
      </c>
      <c r="P14" s="707"/>
      <c r="Q14" s="644">
        <f t="shared" si="0"/>
        <v>-5291104</v>
      </c>
      <c r="R14" s="707"/>
      <c r="S14" s="644">
        <f>0</f>
        <v>0</v>
      </c>
      <c r="T14" s="707"/>
      <c r="U14" s="644">
        <f t="shared" si="1"/>
        <v>0</v>
      </c>
      <c r="V14" s="707"/>
      <c r="W14" s="644">
        <f t="shared" si="4"/>
        <v>-5291104</v>
      </c>
      <c r="X14" s="707"/>
      <c r="Y14" s="644">
        <v>0</v>
      </c>
      <c r="Z14" s="707"/>
      <c r="AA14" s="644">
        <v>0</v>
      </c>
      <c r="AB14" s="707"/>
      <c r="AC14" s="644">
        <f t="shared" si="5"/>
        <v>-5291104</v>
      </c>
      <c r="AD14" s="707"/>
      <c r="AE14" s="644">
        <v>0</v>
      </c>
      <c r="AF14" s="644"/>
      <c r="AG14" s="644">
        <f t="shared" si="2"/>
        <v>-5291104</v>
      </c>
      <c r="AH14" s="644" t="b">
        <f t="shared" si="6"/>
        <v>1</v>
      </c>
      <c r="AI14" s="644">
        <f>SUMIF(Sites!$A:$A,$A14,Sites!$DR:$DR)</f>
        <v>-5291104</v>
      </c>
      <c r="AJ14" s="641"/>
      <c r="AK14" s="644">
        <f t="shared" si="7"/>
        <v>0</v>
      </c>
      <c r="AL14" s="644">
        <f t="shared" si="8"/>
        <v>-5291104</v>
      </c>
      <c r="AM14" s="644">
        <v>0</v>
      </c>
      <c r="AO14" s="644">
        <v>0</v>
      </c>
      <c r="AQ14" s="644">
        <f t="shared" si="3"/>
        <v>17056000</v>
      </c>
    </row>
    <row r="15" spans="1:45">
      <c r="A15" s="709" t="str">
        <f>Sites!A18</f>
        <v>Barcelona Site (Oak Knoll)</v>
      </c>
      <c r="B15" s="642"/>
      <c r="C15" s="646">
        <f>SUMIF(Sites!$A:$A,$A15,Sites!$I:$I)</f>
        <v>205337</v>
      </c>
      <c r="D15" s="643"/>
      <c r="E15" s="646">
        <f>SUMIF(Sites!$A:$A,$A15,Sites!$DA:$DA)</f>
        <v>23</v>
      </c>
      <c r="F15" s="643"/>
      <c r="G15" s="646">
        <f>SUMIF(Sites!$A:$A,$A15,Sites!$DB:$DB)</f>
        <v>0</v>
      </c>
      <c r="H15" s="643"/>
      <c r="I15" s="643">
        <v>0</v>
      </c>
      <c r="J15" s="643"/>
      <c r="K15" s="644">
        <f>SUMIF(Sites!$A:$A,$A15,Sites!$AG:$AG)</f>
        <v>2550000</v>
      </c>
      <c r="L15" s="643"/>
      <c r="M15" s="644">
        <v>0</v>
      </c>
      <c r="N15" s="691"/>
      <c r="O15" s="644">
        <f t="shared" ref="O15" si="9">SUM(K15:M15)</f>
        <v>2550000</v>
      </c>
      <c r="P15" s="707"/>
      <c r="Q15" s="644">
        <f t="shared" si="0"/>
        <v>-2340296</v>
      </c>
      <c r="R15" s="707"/>
      <c r="S15" s="644">
        <f>0</f>
        <v>0</v>
      </c>
      <c r="T15" s="707"/>
      <c r="U15" s="644">
        <f t="shared" si="1"/>
        <v>0</v>
      </c>
      <c r="V15" s="707"/>
      <c r="W15" s="644">
        <f>Q15+S15+U15</f>
        <v>-2340296</v>
      </c>
      <c r="X15" s="707"/>
      <c r="Y15" s="644">
        <v>0</v>
      </c>
      <c r="Z15" s="707"/>
      <c r="AA15" s="644">
        <v>0</v>
      </c>
      <c r="AB15" s="707"/>
      <c r="AC15" s="644">
        <f>SUM(W15:AA15)</f>
        <v>-2340296</v>
      </c>
      <c r="AD15" s="707"/>
      <c r="AE15" s="644">
        <v>0</v>
      </c>
      <c r="AF15" s="644"/>
      <c r="AG15" s="644">
        <f t="shared" si="2"/>
        <v>-2340296</v>
      </c>
      <c r="AH15" s="644" t="b">
        <f>AI15=(AC15+AK15)</f>
        <v>1</v>
      </c>
      <c r="AI15" s="644">
        <f>SUMIF(Sites!$A:$A,$A15,Sites!$DR:$DR)</f>
        <v>-2340296</v>
      </c>
      <c r="AJ15" s="641"/>
      <c r="AK15" s="644">
        <f>IF(O15+Q15-AO15&gt;0,AO15,0)</f>
        <v>0</v>
      </c>
      <c r="AL15" s="644">
        <f>AC15+AK15</f>
        <v>-2340296</v>
      </c>
      <c r="AM15" s="644">
        <v>0</v>
      </c>
      <c r="AO15" s="644">
        <v>0</v>
      </c>
      <c r="AQ15" s="644">
        <f t="shared" si="3"/>
        <v>7544000</v>
      </c>
    </row>
    <row r="16" spans="1:45">
      <c r="A16" s="709" t="str">
        <f>Sites!A20</f>
        <v>1800 San Pablo</v>
      </c>
      <c r="C16" s="646">
        <f>SUMIF(Sites!$A:$A,$A16,Sites!$I:$I)</f>
        <v>44347</v>
      </c>
      <c r="D16" s="642"/>
      <c r="E16" s="646">
        <f>SUMIF(Sites!$A:$A,$A16,Sites!$DA:$DA)</f>
        <v>99</v>
      </c>
      <c r="F16" s="643"/>
      <c r="G16" s="646">
        <f>SUMIF(Sites!$A:$A,$A16,Sites!$DB:$DB)</f>
        <v>0</v>
      </c>
      <c r="H16" s="643"/>
      <c r="I16" s="643">
        <v>0</v>
      </c>
      <c r="J16" s="643"/>
      <c r="K16" s="644">
        <f>SUMIF(Sites!$A:$A,$A16,Sites!$AG:$AG)</f>
        <v>12195425</v>
      </c>
      <c r="L16" s="656"/>
      <c r="M16" s="644">
        <f>IF($M$52=1,AM16,0)</f>
        <v>0</v>
      </c>
      <c r="N16" s="656"/>
      <c r="O16" s="644">
        <f>SUM(K16:N16)</f>
        <v>12195425</v>
      </c>
      <c r="P16" s="707"/>
      <c r="Q16" s="644">
        <f t="shared" si="0"/>
        <v>-10073448</v>
      </c>
      <c r="R16" s="657"/>
      <c r="S16" s="644">
        <f>0</f>
        <v>0</v>
      </c>
      <c r="T16" s="657"/>
      <c r="U16" s="644">
        <f t="shared" si="1"/>
        <v>-1623600</v>
      </c>
      <c r="V16" s="657"/>
      <c r="W16" s="644">
        <f>Q16+S16+U16</f>
        <v>-11697048</v>
      </c>
      <c r="X16" s="657"/>
      <c r="Y16" s="644">
        <f>IF($M$52=1,AY16,0)</f>
        <v>0</v>
      </c>
      <c r="Z16" s="657"/>
      <c r="AA16" s="644">
        <v>0</v>
      </c>
      <c r="AB16" s="657"/>
      <c r="AC16" s="644">
        <f>SUM(W16:AA16)</f>
        <v>-11697048</v>
      </c>
      <c r="AD16" s="657"/>
      <c r="AE16" s="644">
        <v>0</v>
      </c>
      <c r="AF16" s="644"/>
      <c r="AG16" s="644">
        <f t="shared" si="2"/>
        <v>-11697048</v>
      </c>
      <c r="AH16" s="644" t="b">
        <f>AI16=(AC16+AK16)</f>
        <v>1</v>
      </c>
      <c r="AI16" s="644">
        <f>SUMIF(Sites!$A:$A,$A16,Sites!$DR:$DR)</f>
        <v>-11697048</v>
      </c>
      <c r="AJ16" s="698"/>
      <c r="AK16" s="644">
        <f>IF(O16+Q16-AO16&gt;0,AO16,0)</f>
        <v>0</v>
      </c>
      <c r="AL16" s="644">
        <f>AC16+AK16</f>
        <v>-11697048</v>
      </c>
      <c r="AM16" s="644">
        <v>0</v>
      </c>
      <c r="AO16" s="644">
        <v>0</v>
      </c>
      <c r="AP16" s="699"/>
      <c r="AQ16" s="644">
        <f t="shared" si="3"/>
        <v>32472000</v>
      </c>
    </row>
    <row r="17" spans="1:44" ht="15">
      <c r="A17" s="637" t="s">
        <v>553</v>
      </c>
      <c r="B17" s="649"/>
      <c r="C17" s="650">
        <f>SUM(C9:C16)</f>
        <v>532762</v>
      </c>
      <c r="D17" s="651"/>
      <c r="E17" s="650">
        <f>SUM(E9:E16)</f>
        <v>698</v>
      </c>
      <c r="F17" s="651"/>
      <c r="G17" s="650">
        <f>SUM(G9:G16)</f>
        <v>0</v>
      </c>
      <c r="H17" s="651"/>
      <c r="I17" s="650">
        <f>SUM(I9:I16)</f>
        <v>0</v>
      </c>
      <c r="J17" s="651"/>
      <c r="K17" s="652">
        <f>SUM(K9:K16)</f>
        <v>46163430</v>
      </c>
      <c r="L17" s="643"/>
      <c r="M17" s="652">
        <f>SUM(M9:M16)</f>
        <v>0</v>
      </c>
      <c r="N17" s="693"/>
      <c r="O17" s="652">
        <f>SUM(O9:O16)</f>
        <v>46163430</v>
      </c>
      <c r="P17" s="663"/>
      <c r="Q17" s="652">
        <f>SUM(Q9:Q16)</f>
        <v>-71022896</v>
      </c>
      <c r="R17" s="707"/>
      <c r="S17" s="652">
        <f>SUM(S9:S16)</f>
        <v>0</v>
      </c>
      <c r="T17" s="707"/>
      <c r="U17" s="652">
        <f>SUM(U9:U16)</f>
        <v>-8003200</v>
      </c>
      <c r="V17" s="707"/>
      <c r="W17" s="652">
        <f>SUM(W9:W16)</f>
        <v>-79026096</v>
      </c>
      <c r="X17" s="707"/>
      <c r="Y17" s="652">
        <f>SUM(Y9:Y16)</f>
        <v>0</v>
      </c>
      <c r="Z17" s="707"/>
      <c r="AA17" s="652">
        <f>SUM(AA9:AA16)</f>
        <v>0</v>
      </c>
      <c r="AB17" s="707"/>
      <c r="AC17" s="652">
        <f>SUM(AC9:AC16)</f>
        <v>-79026096</v>
      </c>
      <c r="AD17" s="707"/>
      <c r="AE17" s="652">
        <f>SUM(AE9:AE16)</f>
        <v>0</v>
      </c>
      <c r="AF17" s="644"/>
      <c r="AG17" s="652">
        <f>SUM(AG9:AG16)</f>
        <v>-79026096</v>
      </c>
      <c r="AJ17" s="637"/>
      <c r="AM17" s="652">
        <v>0</v>
      </c>
      <c r="AO17" s="652">
        <v>0</v>
      </c>
      <c r="AQ17" s="652">
        <f>SUM(AQ9:AQ16)</f>
        <v>228944000</v>
      </c>
    </row>
    <row r="18" spans="1:44" ht="6" customHeight="1">
      <c r="A18" s="641"/>
      <c r="B18" s="642"/>
      <c r="C18" s="643"/>
      <c r="D18" s="643"/>
      <c r="E18" s="643"/>
      <c r="F18" s="643"/>
      <c r="G18" s="643"/>
      <c r="H18" s="643"/>
      <c r="I18" s="643"/>
      <c r="J18" s="643"/>
      <c r="K18" s="644"/>
      <c r="L18" s="645"/>
      <c r="M18" s="644"/>
      <c r="N18" s="645"/>
      <c r="O18" s="644"/>
      <c r="P18" s="707"/>
      <c r="Q18" s="644"/>
      <c r="R18" s="707"/>
      <c r="S18" s="644"/>
      <c r="T18" s="657"/>
      <c r="U18" s="657"/>
      <c r="V18" s="707"/>
      <c r="W18" s="644"/>
      <c r="X18" s="707"/>
      <c r="Y18" s="644"/>
      <c r="Z18" s="707"/>
      <c r="AA18" s="644"/>
      <c r="AB18" s="657"/>
      <c r="AC18" s="657"/>
      <c r="AD18" s="707"/>
      <c r="AE18" s="657"/>
      <c r="AF18" s="644"/>
      <c r="AG18" s="644">
        <f t="shared" ref="AG18:AG29" si="10">AC18+AE18</f>
        <v>0</v>
      </c>
      <c r="AJ18" s="641"/>
      <c r="AQ18" s="692"/>
    </row>
    <row r="19" spans="1:44" ht="15">
      <c r="A19" s="695" t="s">
        <v>493</v>
      </c>
      <c r="C19" s="646"/>
      <c r="E19" s="646"/>
      <c r="F19" s="646"/>
      <c r="G19" s="646"/>
      <c r="H19" s="638"/>
      <c r="I19" s="646"/>
      <c r="J19" s="638"/>
      <c r="K19" s="656"/>
      <c r="L19" s="643"/>
      <c r="M19" s="638"/>
      <c r="N19" s="643"/>
      <c r="O19" s="657"/>
      <c r="P19" s="657"/>
      <c r="Q19" s="657"/>
      <c r="R19" s="707"/>
      <c r="S19" s="657"/>
      <c r="T19" s="707"/>
      <c r="U19" s="657"/>
      <c r="V19" s="707"/>
      <c r="W19" s="657"/>
      <c r="X19" s="707"/>
      <c r="Y19" s="657"/>
      <c r="Z19" s="707"/>
      <c r="AA19" s="657"/>
      <c r="AB19" s="707"/>
      <c r="AC19" s="770"/>
      <c r="AD19" s="707"/>
      <c r="AE19" s="770"/>
      <c r="AF19" s="644"/>
      <c r="AG19" s="644">
        <f t="shared" si="10"/>
        <v>0</v>
      </c>
      <c r="AH19" s="697"/>
      <c r="AI19" s="697"/>
      <c r="AJ19" s="696"/>
      <c r="AK19" s="697"/>
      <c r="AL19" s="697"/>
      <c r="AM19" s="638"/>
      <c r="AO19" s="638"/>
      <c r="AQ19" s="692"/>
    </row>
    <row r="20" spans="1:44">
      <c r="A20" s="709" t="str">
        <f>Sites!A6</f>
        <v>Rotunda Garage Remainder</v>
      </c>
      <c r="C20" s="646">
        <f>SUMIF(Sites!$A:$A,$A20,Sites!$I:$I)</f>
        <v>6697</v>
      </c>
      <c r="D20" s="642"/>
      <c r="E20" s="646">
        <f>SUMIF(Sites!$A:$A,$A20,Sites!$DA:$DA)</f>
        <v>4</v>
      </c>
      <c r="F20" s="643"/>
      <c r="G20" s="646">
        <f>SUMIF(Sites!$A:$A,$A20,Sites!$DB:$DB)</f>
        <v>21</v>
      </c>
      <c r="H20" s="643"/>
      <c r="I20" s="643">
        <v>0</v>
      </c>
      <c r="J20" s="643"/>
      <c r="K20" s="644">
        <f>SUMIF(Sites!$A:$A,$A20,Sites!$AG:$AG)</f>
        <v>1339400</v>
      </c>
      <c r="L20" s="645"/>
      <c r="M20" s="644">
        <f t="shared" ref="M20:M29" si="11">IF($M$52=1,AM20,0)</f>
        <v>462000</v>
      </c>
      <c r="N20" s="645"/>
      <c r="O20" s="644">
        <f t="shared" ref="O20:O28" si="12">SUM(K20:N20)</f>
        <v>1801400</v>
      </c>
      <c r="P20" s="707"/>
      <c r="Q20" s="644">
        <f>-C$43*E20</f>
        <v>-898265.59999999986</v>
      </c>
      <c r="R20" s="707"/>
      <c r="S20" s="644">
        <f t="shared" ref="S20:S29" si="13">-IF(E20+G20&gt;$AQ$6,$C$46*AQ20,0)</f>
        <v>0</v>
      </c>
      <c r="T20" s="707"/>
      <c r="U20" s="644">
        <f t="shared" ref="U20:U29" si="14">-IF(E20+G20&gt;$AQ$6,$C$47*AQ20,0)</f>
        <v>0</v>
      </c>
      <c r="V20" s="707"/>
      <c r="W20" s="644">
        <f t="shared" ref="W20:W29" si="15">IF(O20+Q20+S20+U20-AO20&gt;0,(O20+Q20+S20+U20-AO20)*$C$44,0)</f>
        <v>267184.40000000014</v>
      </c>
      <c r="X20" s="707"/>
      <c r="Y20" s="644">
        <f t="shared" ref="Y20:Y29" si="16">IF($M$52=1,AY20,0)</f>
        <v>0</v>
      </c>
      <c r="Z20" s="707"/>
      <c r="AA20" s="644">
        <f t="shared" ref="AA20:AA29" si="17">IF(O20+Q20-AO20&gt;0,AO20,O20+Q20+S20+U20)</f>
        <v>635950</v>
      </c>
      <c r="AB20" s="707"/>
      <c r="AC20" s="644">
        <f t="shared" ref="AC20:AC29" si="18">SUM(W20:AA20)</f>
        <v>903134.40000000014</v>
      </c>
      <c r="AD20" s="707"/>
      <c r="AE20" s="644">
        <v>0</v>
      </c>
      <c r="AF20" s="644"/>
      <c r="AG20" s="644">
        <f t="shared" si="10"/>
        <v>903134.40000000014</v>
      </c>
      <c r="AH20" s="644" t="b">
        <f t="shared" ref="AH20:AH29" si="19">AC20=AI20</f>
        <v>1</v>
      </c>
      <c r="AI20" s="647">
        <f>SUMIF(Sites!$A:$A,$A20,Sites!$DR:$DR)</f>
        <v>903134.40000000014</v>
      </c>
      <c r="AJ20" s="641"/>
      <c r="AL20" s="647">
        <f t="shared" ref="AL20:AL29" si="20">AC20+AA20</f>
        <v>1539084.4000000001</v>
      </c>
      <c r="AM20" s="644">
        <f>SUMIF(Sites!$A:$A,$A20,Sites!$DE:$DE)</f>
        <v>462000</v>
      </c>
      <c r="AO20" s="644">
        <f t="shared" ref="AO20:AO29" si="21">(AO$1-AM$1)*SUM($E20:$G20)*$C$42</f>
        <v>635950</v>
      </c>
      <c r="AP20" s="699"/>
      <c r="AQ20" s="644">
        <f t="shared" ref="AQ20:AQ29" si="22">(E20+G20)*$C$45</f>
        <v>8200000</v>
      </c>
      <c r="AR20" s="647">
        <f t="shared" ref="AR20:AR29" si="23">AC20+AA20</f>
        <v>1539084.4000000001</v>
      </c>
    </row>
    <row r="21" spans="1:44">
      <c r="A21" s="709" t="str">
        <f>Sites!A7</f>
        <v>MLK Sites</v>
      </c>
      <c r="C21" s="646">
        <f>SUMIF(Sites!$A:$A,$A21,Sites!$I:$I)</f>
        <v>9125</v>
      </c>
      <c r="D21" s="642"/>
      <c r="E21" s="646">
        <f>SUMIF(Sites!$A:$A,$A21,Sites!$DA:$DA)</f>
        <v>3</v>
      </c>
      <c r="F21" s="643"/>
      <c r="G21" s="646">
        <f>SUMIF(Sites!$A:$A,$A21,Sites!$DB:$DB)</f>
        <v>18</v>
      </c>
      <c r="H21" s="643"/>
      <c r="I21" s="643">
        <v>0</v>
      </c>
      <c r="J21" s="643"/>
      <c r="K21" s="644">
        <f>SUMIF(Sites!$A:$A,$A21,Sites!$AG:$AG)</f>
        <v>1095000</v>
      </c>
      <c r="L21" s="645"/>
      <c r="M21" s="644">
        <f t="shared" si="11"/>
        <v>319500</v>
      </c>
      <c r="N21" s="645"/>
      <c r="O21" s="644">
        <f t="shared" si="12"/>
        <v>1414500</v>
      </c>
      <c r="P21" s="707"/>
      <c r="Q21" s="644">
        <f t="shared" ref="Q21:Q29" si="24">-C$43*E21</f>
        <v>-673699.2</v>
      </c>
      <c r="R21" s="707"/>
      <c r="S21" s="644">
        <f t="shared" si="13"/>
        <v>0</v>
      </c>
      <c r="T21" s="707"/>
      <c r="U21" s="644">
        <f t="shared" si="14"/>
        <v>0</v>
      </c>
      <c r="V21" s="707"/>
      <c r="W21" s="644">
        <f>(O21+Q21+S21+U21-AO21)*1</f>
        <v>206602.80000000005</v>
      </c>
      <c r="X21" s="707"/>
      <c r="Y21" s="644">
        <f t="shared" si="16"/>
        <v>0</v>
      </c>
      <c r="Z21" s="707"/>
      <c r="AA21" s="644">
        <f t="shared" si="17"/>
        <v>534198</v>
      </c>
      <c r="AB21" s="707"/>
      <c r="AC21" s="644">
        <f t="shared" si="18"/>
        <v>740800.8</v>
      </c>
      <c r="AD21" s="707"/>
      <c r="AE21" s="644">
        <v>0</v>
      </c>
      <c r="AF21" s="644"/>
      <c r="AG21" s="644">
        <f t="shared" si="10"/>
        <v>740800.8</v>
      </c>
      <c r="AH21" s="644" t="b">
        <f t="shared" si="19"/>
        <v>1</v>
      </c>
      <c r="AI21" s="647">
        <f>SUMIF(Sites!$A:$A,$A21,Sites!$DR:$DR)</f>
        <v>740800.8</v>
      </c>
      <c r="AJ21" s="641"/>
      <c r="AL21" s="647">
        <f t="shared" si="20"/>
        <v>1274998.8</v>
      </c>
      <c r="AM21" s="644">
        <f>SUMIF(Sites!$A:$A,$A21,Sites!$DE:$DE)</f>
        <v>319500</v>
      </c>
      <c r="AO21" s="644">
        <f t="shared" si="21"/>
        <v>534198</v>
      </c>
      <c r="AP21" s="699"/>
      <c r="AQ21" s="644">
        <f t="shared" si="22"/>
        <v>6888000</v>
      </c>
      <c r="AR21" s="647">
        <f t="shared" si="23"/>
        <v>1274998.8</v>
      </c>
    </row>
    <row r="22" spans="1:44">
      <c r="A22" s="709" t="str">
        <f>Sites!A9</f>
        <v>Miller Library Site</v>
      </c>
      <c r="C22" s="646">
        <f>SUMIF(Sites!$A:$A,$A22,Sites!$I:$I)</f>
        <v>11969</v>
      </c>
      <c r="D22" s="642"/>
      <c r="E22" s="646">
        <f>SUMIF(Sites!$A:$A,$A22,Sites!$DA:$DA)</f>
        <v>1</v>
      </c>
      <c r="F22" s="643"/>
      <c r="G22" s="646">
        <f>SUMIF(Sites!$A:$A,$A22,Sites!$DB:$DB)</f>
        <v>8</v>
      </c>
      <c r="H22" s="643"/>
      <c r="I22" s="643">
        <v>0</v>
      </c>
      <c r="J22" s="643"/>
      <c r="K22" s="644">
        <f>SUMIF(Sites!$A:$A,$A22,Sites!$AG:$AG)</f>
        <v>1077210</v>
      </c>
      <c r="L22" s="656"/>
      <c r="M22" s="644">
        <f t="shared" si="11"/>
        <v>96000</v>
      </c>
      <c r="N22" s="656"/>
      <c r="O22" s="644">
        <f t="shared" si="12"/>
        <v>1173210</v>
      </c>
      <c r="P22" s="707"/>
      <c r="Q22" s="644">
        <f t="shared" si="24"/>
        <v>-224566.39999999997</v>
      </c>
      <c r="R22" s="657"/>
      <c r="S22" s="644">
        <f t="shared" si="13"/>
        <v>0</v>
      </c>
      <c r="T22" s="657"/>
      <c r="U22" s="644">
        <f t="shared" si="14"/>
        <v>0</v>
      </c>
      <c r="V22" s="657"/>
      <c r="W22" s="644">
        <f t="shared" si="15"/>
        <v>719701.60000000009</v>
      </c>
      <c r="X22" s="657"/>
      <c r="Y22" s="644">
        <f t="shared" si="16"/>
        <v>0</v>
      </c>
      <c r="Z22" s="657"/>
      <c r="AA22" s="644">
        <f t="shared" si="17"/>
        <v>228942</v>
      </c>
      <c r="AB22" s="657"/>
      <c r="AC22" s="644">
        <f t="shared" si="18"/>
        <v>948643.60000000009</v>
      </c>
      <c r="AD22" s="657"/>
      <c r="AE22" s="644">
        <v>0</v>
      </c>
      <c r="AF22" s="644"/>
      <c r="AG22" s="644">
        <f t="shared" si="10"/>
        <v>948643.60000000009</v>
      </c>
      <c r="AH22" s="644" t="b">
        <f t="shared" si="19"/>
        <v>1</v>
      </c>
      <c r="AI22" s="647">
        <f>SUMIF(Sites!$A:$A,$A22,Sites!$DR:$DR)</f>
        <v>948643.60000000009</v>
      </c>
      <c r="AJ22" s="641"/>
      <c r="AL22" s="647">
        <f t="shared" si="20"/>
        <v>1177585.6000000001</v>
      </c>
      <c r="AM22" s="644">
        <f>SUMIF(Sites!$A:$A,$A22,Sites!$DE:$DE)</f>
        <v>96000</v>
      </c>
      <c r="AO22" s="644">
        <f t="shared" si="21"/>
        <v>228942</v>
      </c>
      <c r="AP22" s="699"/>
      <c r="AQ22" s="644">
        <f t="shared" si="22"/>
        <v>2952000</v>
      </c>
      <c r="AR22" s="647">
        <f t="shared" si="23"/>
        <v>1177585.6000000001</v>
      </c>
    </row>
    <row r="23" spans="1:44" ht="15">
      <c r="A23" s="709" t="str">
        <f>Sites!A12</f>
        <v>73rd &amp; International</v>
      </c>
      <c r="C23" s="646">
        <f>SUMIF(Sites!$A:$A,$A23,Sites!$I:$I)</f>
        <v>5435</v>
      </c>
      <c r="D23" s="642"/>
      <c r="E23" s="646">
        <f>SUMIF(Sites!$A:$A,$A23,Sites!$DA:$DA)</f>
        <v>2</v>
      </c>
      <c r="F23" s="643"/>
      <c r="G23" s="646">
        <f>SUMIF(Sites!$A:$A,$A23,Sites!$DB:$DB)</f>
        <v>11</v>
      </c>
      <c r="H23" s="643"/>
      <c r="I23" s="643">
        <v>0</v>
      </c>
      <c r="J23" s="643"/>
      <c r="K23" s="644">
        <f>SUMIF(Sites!$A:$A,$A23,Sites!$AG:$AG)</f>
        <v>407625</v>
      </c>
      <c r="L23" s="707"/>
      <c r="M23" s="644">
        <f t="shared" si="11"/>
        <v>132000</v>
      </c>
      <c r="N23" s="707"/>
      <c r="O23" s="644">
        <f t="shared" si="12"/>
        <v>539625</v>
      </c>
      <c r="P23" s="707"/>
      <c r="Q23" s="644">
        <f t="shared" si="24"/>
        <v>-449132.79999999993</v>
      </c>
      <c r="R23" s="707"/>
      <c r="S23" s="644">
        <f t="shared" si="13"/>
        <v>0</v>
      </c>
      <c r="T23" s="707"/>
      <c r="U23" s="644">
        <f t="shared" si="14"/>
        <v>0</v>
      </c>
      <c r="V23" s="707"/>
      <c r="W23" s="644">
        <f t="shared" si="15"/>
        <v>0</v>
      </c>
      <c r="X23" s="707"/>
      <c r="Y23" s="644">
        <f t="shared" si="16"/>
        <v>0</v>
      </c>
      <c r="Z23" s="707"/>
      <c r="AA23" s="644">
        <f t="shared" si="17"/>
        <v>90492.20000000007</v>
      </c>
      <c r="AB23" s="707"/>
      <c r="AC23" s="644">
        <f t="shared" si="18"/>
        <v>90492.20000000007</v>
      </c>
      <c r="AD23" s="707"/>
      <c r="AE23" s="644">
        <v>0</v>
      </c>
      <c r="AF23" s="663"/>
      <c r="AG23" s="644">
        <f t="shared" si="10"/>
        <v>90492.20000000007</v>
      </c>
      <c r="AH23" s="644" t="b">
        <f t="shared" si="19"/>
        <v>1</v>
      </c>
      <c r="AI23" s="647">
        <f>SUMIF(Sites!$A:$A,$A23,Sites!$DR:$DR)</f>
        <v>90492.20000000007</v>
      </c>
      <c r="AJ23" s="641"/>
      <c r="AL23" s="647">
        <f t="shared" si="20"/>
        <v>180984.40000000014</v>
      </c>
      <c r="AM23" s="644">
        <f>SUMIF(Sites!$A:$A,$A23,Sites!$DE:$DE)</f>
        <v>132000</v>
      </c>
      <c r="AO23" s="647">
        <f t="shared" si="21"/>
        <v>330694</v>
      </c>
      <c r="AP23" s="699"/>
      <c r="AQ23" s="644">
        <f t="shared" si="22"/>
        <v>4264000</v>
      </c>
      <c r="AR23" s="647">
        <f t="shared" si="23"/>
        <v>180984.40000000014</v>
      </c>
    </row>
    <row r="24" spans="1:44" ht="15">
      <c r="A24" s="709" t="str">
        <f>Sites!A13</f>
        <v xml:space="preserve">Clara &amp; Edes </v>
      </c>
      <c r="C24" s="646">
        <f>SUMIF(Sites!$A:$A,$A24,Sites!$I:$I)</f>
        <v>26311</v>
      </c>
      <c r="D24" s="642"/>
      <c r="E24" s="646">
        <f>SUMIF(Sites!$A:$A,$A24,Sites!$DA:$DA)</f>
        <v>5</v>
      </c>
      <c r="F24" s="643"/>
      <c r="G24" s="646">
        <f>SUMIF(Sites!$A:$A,$A24,Sites!$DB:$DB)</f>
        <v>25</v>
      </c>
      <c r="H24" s="643"/>
      <c r="I24" s="643">
        <v>0</v>
      </c>
      <c r="J24" s="643"/>
      <c r="K24" s="644">
        <f>SUMIF(Sites!$A:$A,$A24,Sites!$AG:$AG)</f>
        <v>1052440</v>
      </c>
      <c r="L24" s="662"/>
      <c r="M24" s="644">
        <f t="shared" si="11"/>
        <v>300000</v>
      </c>
      <c r="N24" s="662"/>
      <c r="O24" s="644">
        <f t="shared" si="12"/>
        <v>1352440</v>
      </c>
      <c r="P24" s="707"/>
      <c r="Q24" s="644">
        <f t="shared" si="24"/>
        <v>-1122831.9999999998</v>
      </c>
      <c r="R24" s="663"/>
      <c r="S24" s="644">
        <f t="shared" si="13"/>
        <v>0</v>
      </c>
      <c r="T24" s="663"/>
      <c r="U24" s="644">
        <f t="shared" si="14"/>
        <v>0</v>
      </c>
      <c r="V24" s="663"/>
      <c r="W24" s="644">
        <f t="shared" si="15"/>
        <v>0</v>
      </c>
      <c r="X24" s="663"/>
      <c r="Y24" s="644">
        <f t="shared" si="16"/>
        <v>0</v>
      </c>
      <c r="Z24" s="663"/>
      <c r="AA24" s="644">
        <f t="shared" si="17"/>
        <v>229608.00000000023</v>
      </c>
      <c r="AB24" s="663"/>
      <c r="AC24" s="644">
        <f t="shared" si="18"/>
        <v>229608.00000000023</v>
      </c>
      <c r="AD24" s="663"/>
      <c r="AE24" s="644">
        <v>0</v>
      </c>
      <c r="AF24" s="657"/>
      <c r="AG24" s="644">
        <f t="shared" si="10"/>
        <v>229608.00000000023</v>
      </c>
      <c r="AH24" s="644" t="b">
        <f t="shared" si="19"/>
        <v>1</v>
      </c>
      <c r="AI24" s="647">
        <f>SUMIF(Sites!$A:$A,$A24,Sites!$DR:$DR)</f>
        <v>229608.00000000023</v>
      </c>
      <c r="AJ24" s="641"/>
      <c r="AL24" s="647">
        <f t="shared" si="20"/>
        <v>459216.00000000047</v>
      </c>
      <c r="AM24" s="644">
        <f>SUMIF(Sites!$A:$A,$A24,Sites!$DE:$DE)</f>
        <v>300000</v>
      </c>
      <c r="AO24" s="644">
        <f t="shared" si="21"/>
        <v>763140</v>
      </c>
      <c r="AP24" s="699"/>
      <c r="AQ24" s="644">
        <f t="shared" si="22"/>
        <v>9840000</v>
      </c>
      <c r="AR24" s="647">
        <f t="shared" si="23"/>
        <v>459216.00000000047</v>
      </c>
    </row>
    <row r="25" spans="1:44" ht="15">
      <c r="A25" s="709" t="str">
        <f>Sites!A14</f>
        <v>Golf Links Road</v>
      </c>
      <c r="C25" s="646">
        <f>SUMIF(Sites!$A:$A,$A25,Sites!$I:$I)</f>
        <v>32038</v>
      </c>
      <c r="D25" s="642"/>
      <c r="E25" s="646">
        <f>SUMIF(Sites!$A:$A,$A25,Sites!$DA:$DA)</f>
        <v>6</v>
      </c>
      <c r="F25" s="643"/>
      <c r="G25" s="646">
        <f>SUMIF(Sites!$A:$A,$A25,Sites!$DB:$DB)</f>
        <v>34</v>
      </c>
      <c r="H25" s="643"/>
      <c r="I25" s="643">
        <v>0</v>
      </c>
      <c r="J25" s="643"/>
      <c r="K25" s="644">
        <f>SUMIF(Sites!$A:$A,$A25,Sites!$AG:$AG)</f>
        <v>1281520</v>
      </c>
      <c r="L25" s="654"/>
      <c r="M25" s="644">
        <f t="shared" si="11"/>
        <v>408000</v>
      </c>
      <c r="N25" s="654"/>
      <c r="O25" s="644">
        <f t="shared" si="12"/>
        <v>1689520</v>
      </c>
      <c r="P25" s="707"/>
      <c r="Q25" s="644">
        <f t="shared" si="24"/>
        <v>-1347398.4</v>
      </c>
      <c r="R25" s="768"/>
      <c r="S25" s="644">
        <f t="shared" si="13"/>
        <v>0</v>
      </c>
      <c r="T25" s="768"/>
      <c r="U25" s="644">
        <f t="shared" si="14"/>
        <v>0</v>
      </c>
      <c r="V25" s="768"/>
      <c r="W25" s="644">
        <f t="shared" si="15"/>
        <v>0</v>
      </c>
      <c r="X25" s="768"/>
      <c r="Y25" s="644">
        <f t="shared" si="16"/>
        <v>0</v>
      </c>
      <c r="Z25" s="768"/>
      <c r="AA25" s="644">
        <f t="shared" si="17"/>
        <v>342121.60000000009</v>
      </c>
      <c r="AB25" s="768"/>
      <c r="AC25" s="644">
        <f t="shared" si="18"/>
        <v>342121.60000000009</v>
      </c>
      <c r="AD25" s="768"/>
      <c r="AE25" s="644">
        <v>0</v>
      </c>
      <c r="AF25" s="657"/>
      <c r="AG25" s="644">
        <f t="shared" si="10"/>
        <v>342121.60000000009</v>
      </c>
      <c r="AH25" s="644" t="b">
        <f t="shared" si="19"/>
        <v>1</v>
      </c>
      <c r="AI25" s="647">
        <f>SUMIF(Sites!$A:$A,$A25,Sites!$DR:$DR)</f>
        <v>342121.60000000009</v>
      </c>
      <c r="AJ25" s="641"/>
      <c r="AL25" s="647">
        <f t="shared" si="20"/>
        <v>684243.20000000019</v>
      </c>
      <c r="AM25" s="644">
        <f>SUMIF(Sites!$A:$A,$A25,Sites!$DE:$DE)</f>
        <v>408000</v>
      </c>
      <c r="AO25" s="644">
        <f t="shared" si="21"/>
        <v>1017520</v>
      </c>
      <c r="AP25" s="699"/>
      <c r="AQ25" s="644">
        <f t="shared" si="22"/>
        <v>13120000</v>
      </c>
      <c r="AR25" s="647">
        <f t="shared" si="23"/>
        <v>684243.20000000019</v>
      </c>
    </row>
    <row r="26" spans="1:44">
      <c r="A26" s="709" t="str">
        <f>Sites!A16</f>
        <v>98th &amp; Stearns</v>
      </c>
      <c r="C26" s="646">
        <f>SUMIF(Sites!$A:$A,$A26,Sites!$I:$I)</f>
        <v>20614</v>
      </c>
      <c r="D26" s="642"/>
      <c r="E26" s="646">
        <f>SUMIF(Sites!$A:$A,$A26,Sites!$DA:$DA)</f>
        <v>1</v>
      </c>
      <c r="F26" s="643"/>
      <c r="G26" s="646">
        <f>SUMIF(Sites!$A:$A,$A26,Sites!$DB:$DB)</f>
        <v>5</v>
      </c>
      <c r="H26" s="643"/>
      <c r="I26" s="643">
        <v>0</v>
      </c>
      <c r="J26" s="643"/>
      <c r="K26" s="644">
        <f>SUMIF(Sites!$A:$A,$A26,Sites!$AG:$AG)</f>
        <v>1855260</v>
      </c>
      <c r="L26" s="645"/>
      <c r="M26" s="644">
        <f t="shared" si="11"/>
        <v>60000</v>
      </c>
      <c r="N26" s="645"/>
      <c r="O26" s="644">
        <f t="shared" si="12"/>
        <v>1915260</v>
      </c>
      <c r="P26" s="707"/>
      <c r="Q26" s="644">
        <f t="shared" si="24"/>
        <v>-224566.39999999997</v>
      </c>
      <c r="R26" s="707"/>
      <c r="S26" s="644">
        <f t="shared" si="13"/>
        <v>0</v>
      </c>
      <c r="T26" s="707"/>
      <c r="U26" s="644">
        <f t="shared" si="14"/>
        <v>0</v>
      </c>
      <c r="V26" s="707"/>
      <c r="W26" s="644">
        <f t="shared" si="15"/>
        <v>1538065.6</v>
      </c>
      <c r="X26" s="707"/>
      <c r="Y26" s="644">
        <f t="shared" si="16"/>
        <v>0</v>
      </c>
      <c r="Z26" s="707"/>
      <c r="AA26" s="644">
        <f t="shared" si="17"/>
        <v>152628</v>
      </c>
      <c r="AB26" s="707"/>
      <c r="AC26" s="644">
        <f t="shared" si="18"/>
        <v>1690693.6</v>
      </c>
      <c r="AD26" s="707"/>
      <c r="AE26" s="644">
        <v>0</v>
      </c>
      <c r="AF26" s="644"/>
      <c r="AG26" s="644">
        <f t="shared" si="10"/>
        <v>1690693.6</v>
      </c>
      <c r="AH26" s="644" t="b">
        <f t="shared" si="19"/>
        <v>1</v>
      </c>
      <c r="AI26" s="647">
        <f>SUMIF(Sites!$A:$A,$A26,Sites!$DR:$DR)</f>
        <v>1690693.6</v>
      </c>
      <c r="AJ26" s="641"/>
      <c r="AL26" s="647">
        <f t="shared" si="20"/>
        <v>1843321.6</v>
      </c>
      <c r="AM26" s="644">
        <f>SUMIF(Sites!$A:$A,$A26,Sites!$DE:$DE)</f>
        <v>60000</v>
      </c>
      <c r="AO26" s="644">
        <f t="shared" si="21"/>
        <v>152628</v>
      </c>
      <c r="AP26" s="699"/>
      <c r="AQ26" s="644">
        <f t="shared" si="22"/>
        <v>1968000</v>
      </c>
      <c r="AR26" s="647">
        <f t="shared" si="23"/>
        <v>1843321.6</v>
      </c>
    </row>
    <row r="27" spans="1:44" ht="15">
      <c r="A27" s="709" t="str">
        <f>Sites!A22</f>
        <v>Clay St Garage</v>
      </c>
      <c r="C27" s="646">
        <f>SUMIF(Sites!$A:$A,$A27,Sites!$I:$I)</f>
        <v>29000</v>
      </c>
      <c r="D27" s="642"/>
      <c r="E27" s="646">
        <f>SUMIF(Sites!$A:$A,$A27,Sites!$DA:$DA)</f>
        <v>10</v>
      </c>
      <c r="F27" s="643"/>
      <c r="G27" s="646">
        <f>SUMIF(Sites!$A:$A,$A27,Sites!$DB:$DB)</f>
        <v>55</v>
      </c>
      <c r="H27" s="643"/>
      <c r="I27" s="643">
        <v>0</v>
      </c>
      <c r="J27" s="643"/>
      <c r="K27" s="644">
        <f>SUMIF(Sites!$A:$A,$A27,Sites!$AG:$AG)</f>
        <v>6525000</v>
      </c>
      <c r="L27" s="643"/>
      <c r="M27" s="644">
        <f t="shared" si="11"/>
        <v>1210000</v>
      </c>
      <c r="N27" s="643"/>
      <c r="O27" s="644">
        <f t="shared" si="12"/>
        <v>7735000</v>
      </c>
      <c r="P27" s="707"/>
      <c r="Q27" s="644">
        <f t="shared" si="24"/>
        <v>-2245663.9999999995</v>
      </c>
      <c r="R27" s="707"/>
      <c r="S27" s="644">
        <f t="shared" si="13"/>
        <v>0</v>
      </c>
      <c r="T27" s="707"/>
      <c r="U27" s="644">
        <f t="shared" si="14"/>
        <v>0</v>
      </c>
      <c r="V27" s="707"/>
      <c r="W27" s="644">
        <f t="shared" si="15"/>
        <v>3835866</v>
      </c>
      <c r="X27" s="707"/>
      <c r="Y27" s="644">
        <f t="shared" si="16"/>
        <v>0</v>
      </c>
      <c r="Z27" s="707"/>
      <c r="AA27" s="644">
        <f t="shared" si="17"/>
        <v>1653470</v>
      </c>
      <c r="AB27" s="707"/>
      <c r="AC27" s="644">
        <f t="shared" si="18"/>
        <v>5489336</v>
      </c>
      <c r="AD27" s="707"/>
      <c r="AE27" s="644">
        <v>0</v>
      </c>
      <c r="AF27" s="663"/>
      <c r="AG27" s="644">
        <f t="shared" si="10"/>
        <v>5489336</v>
      </c>
      <c r="AH27" s="644" t="b">
        <f t="shared" si="19"/>
        <v>1</v>
      </c>
      <c r="AI27" s="647">
        <f>SUMIF(Sites!$A:$A,$A27,Sites!$DR:$DR)</f>
        <v>5489336</v>
      </c>
      <c r="AJ27" s="641"/>
      <c r="AL27" s="647">
        <f t="shared" si="20"/>
        <v>7142806</v>
      </c>
      <c r="AM27" s="644">
        <f>SUMIF(Sites!$A:$A,$A27,Sites!$DE:$DE)</f>
        <v>1210000</v>
      </c>
      <c r="AO27" s="647">
        <f t="shared" si="21"/>
        <v>1653470</v>
      </c>
      <c r="AP27" s="699"/>
      <c r="AQ27" s="644">
        <f t="shared" si="22"/>
        <v>21320000</v>
      </c>
      <c r="AR27" s="647">
        <f t="shared" si="23"/>
        <v>7142806</v>
      </c>
    </row>
    <row r="28" spans="1:44" ht="15">
      <c r="A28" s="709" t="str">
        <f>Sites!A23</f>
        <v>1911 Telegraph</v>
      </c>
      <c r="C28" s="646">
        <f>SUMIF(Sites!$A:$A,$A28,Sites!$I:$I)</f>
        <v>45121</v>
      </c>
      <c r="D28" s="642"/>
      <c r="E28" s="646">
        <f>SUMIF(Sites!$A:$A,$A28,Sites!$DA:$DA)</f>
        <v>15</v>
      </c>
      <c r="F28" s="643"/>
      <c r="G28" s="646">
        <f>SUMIF(Sites!$A:$A,$A28,Sites!$DB:$DB)</f>
        <v>86</v>
      </c>
      <c r="H28" s="643"/>
      <c r="I28" s="643">
        <v>0</v>
      </c>
      <c r="J28" s="643"/>
      <c r="K28" s="644">
        <f>SUMIF(Sites!$A:$A,$A28,Sites!$AG:$AG)</f>
        <v>14664325</v>
      </c>
      <c r="L28" s="643"/>
      <c r="M28" s="644">
        <f t="shared" si="11"/>
        <v>1892000</v>
      </c>
      <c r="N28" s="643"/>
      <c r="O28" s="644">
        <f t="shared" si="12"/>
        <v>16556325</v>
      </c>
      <c r="P28" s="707"/>
      <c r="Q28" s="644">
        <f t="shared" si="24"/>
        <v>-3368495.9999999995</v>
      </c>
      <c r="R28" s="707"/>
      <c r="S28" s="644">
        <f t="shared" si="13"/>
        <v>-1656400</v>
      </c>
      <c r="T28" s="707"/>
      <c r="U28" s="644">
        <f t="shared" si="14"/>
        <v>-1656400</v>
      </c>
      <c r="V28" s="707"/>
      <c r="W28" s="644">
        <f t="shared" si="15"/>
        <v>7305791</v>
      </c>
      <c r="X28" s="707"/>
      <c r="Y28" s="644">
        <f t="shared" si="16"/>
        <v>0</v>
      </c>
      <c r="Z28" s="707"/>
      <c r="AA28" s="644">
        <f t="shared" si="17"/>
        <v>2569238</v>
      </c>
      <c r="AB28" s="707"/>
      <c r="AC28" s="644">
        <f t="shared" si="18"/>
        <v>9875029</v>
      </c>
      <c r="AD28" s="707"/>
      <c r="AE28" s="644">
        <v>0</v>
      </c>
      <c r="AF28" s="710"/>
      <c r="AG28" s="644">
        <f t="shared" si="10"/>
        <v>9875029</v>
      </c>
      <c r="AH28" s="644" t="b">
        <f t="shared" si="19"/>
        <v>1</v>
      </c>
      <c r="AI28" s="647">
        <f>SUMIF(Sites!$A:$A,$A28,Sites!$DR:$DR)</f>
        <v>9875029</v>
      </c>
      <c r="AJ28" s="698"/>
      <c r="AL28" s="647">
        <f t="shared" si="20"/>
        <v>12444267</v>
      </c>
      <c r="AM28" s="644">
        <f>SUMIF(Sites!$A:$A,$A28,Sites!$DE:$DE)</f>
        <v>1892000</v>
      </c>
      <c r="AO28" s="647">
        <f t="shared" si="21"/>
        <v>2569238</v>
      </c>
      <c r="AP28" s="699"/>
      <c r="AQ28" s="644">
        <f t="shared" si="22"/>
        <v>33128000</v>
      </c>
      <c r="AR28" s="647">
        <f t="shared" si="23"/>
        <v>12444267</v>
      </c>
    </row>
    <row r="29" spans="1:44" ht="15">
      <c r="A29" s="709" t="str">
        <f>Sites!A24</f>
        <v>Fire Alarm Bldg</v>
      </c>
      <c r="C29" s="646">
        <f>SUMIF(Sites!$A:$A,$A29,Sites!$I:$I)</f>
        <v>31031</v>
      </c>
      <c r="D29" s="642"/>
      <c r="E29" s="646">
        <f>SUMIF(Sites!$A:$A,$A29,Sites!$DA:$DA)</f>
        <v>10</v>
      </c>
      <c r="F29" s="643"/>
      <c r="G29" s="646">
        <f>SUMIF(Sites!$A:$A,$A29,Sites!$DB:$DB)</f>
        <v>59</v>
      </c>
      <c r="H29" s="643"/>
      <c r="I29" s="643">
        <v>0</v>
      </c>
      <c r="J29" s="643"/>
      <c r="K29" s="644">
        <f>SUMIF(Sites!$A:$A,$A29,Sites!$AG:$AG)</f>
        <v>6981975</v>
      </c>
      <c r="L29" s="653"/>
      <c r="M29" s="644">
        <f t="shared" si="11"/>
        <v>1298000</v>
      </c>
      <c r="N29" s="653"/>
      <c r="O29" s="644">
        <f t="shared" ref="O29" si="25">SUM(K29:N29)</f>
        <v>8279975</v>
      </c>
      <c r="P29" s="707"/>
      <c r="Q29" s="644">
        <f t="shared" si="24"/>
        <v>-2245663.9999999995</v>
      </c>
      <c r="R29" s="663"/>
      <c r="S29" s="644">
        <f t="shared" si="13"/>
        <v>0</v>
      </c>
      <c r="T29" s="663"/>
      <c r="U29" s="644">
        <f t="shared" si="14"/>
        <v>0</v>
      </c>
      <c r="V29" s="663"/>
      <c r="W29" s="644">
        <f t="shared" si="15"/>
        <v>4279089</v>
      </c>
      <c r="X29" s="663"/>
      <c r="Y29" s="644">
        <f t="shared" si="16"/>
        <v>0</v>
      </c>
      <c r="Z29" s="663"/>
      <c r="AA29" s="644">
        <f t="shared" si="17"/>
        <v>1755222</v>
      </c>
      <c r="AB29" s="663"/>
      <c r="AC29" s="644">
        <f t="shared" si="18"/>
        <v>6034311</v>
      </c>
      <c r="AD29" s="663"/>
      <c r="AE29" s="644">
        <v>0</v>
      </c>
      <c r="AF29" s="657"/>
      <c r="AG29" s="644">
        <f t="shared" si="10"/>
        <v>6034311</v>
      </c>
      <c r="AH29" s="644" t="b">
        <f t="shared" si="19"/>
        <v>1</v>
      </c>
      <c r="AI29" s="647">
        <f>SUMIF(Sites!$A:$A,$A29,Sites!$DR:$DR)</f>
        <v>6034311</v>
      </c>
      <c r="AJ29" s="641"/>
      <c r="AL29" s="647">
        <f t="shared" si="20"/>
        <v>7789533</v>
      </c>
      <c r="AM29" s="644">
        <f>SUMIF(Sites!$A:$A,$A29,Sites!$DE:$DE)</f>
        <v>1298000</v>
      </c>
      <c r="AO29" s="647">
        <f t="shared" si="21"/>
        <v>1755222</v>
      </c>
      <c r="AP29" s="699"/>
      <c r="AQ29" s="644">
        <f t="shared" si="22"/>
        <v>22632000</v>
      </c>
      <c r="AR29" s="647">
        <f t="shared" si="23"/>
        <v>7789533</v>
      </c>
    </row>
    <row r="30" spans="1:44" ht="15">
      <c r="A30" s="658" t="s">
        <v>625</v>
      </c>
      <c r="B30" s="659"/>
      <c r="C30" s="660">
        <f>SUM(C20:C29)</f>
        <v>217341</v>
      </c>
      <c r="D30" s="700"/>
      <c r="E30" s="650">
        <f>SUM(E20:E29)</f>
        <v>57</v>
      </c>
      <c r="F30" s="651"/>
      <c r="G30" s="650">
        <f>SUM(G20:G29)</f>
        <v>322</v>
      </c>
      <c r="H30" s="651"/>
      <c r="I30" s="650">
        <f>SUM(I9:I29)</f>
        <v>0</v>
      </c>
      <c r="J30" s="651"/>
      <c r="K30" s="652">
        <f>SUM(K20:K29)</f>
        <v>36279755</v>
      </c>
      <c r="L30" s="645"/>
      <c r="M30" s="652">
        <f>SUM(M20:M29)</f>
        <v>6177500</v>
      </c>
      <c r="N30" s="645"/>
      <c r="O30" s="652">
        <f>SUM(O20:O29)</f>
        <v>42457255</v>
      </c>
      <c r="P30" s="768"/>
      <c r="Q30" s="652">
        <f>SUM(Q20:Q29)</f>
        <v>-12800284.799999999</v>
      </c>
      <c r="R30" s="707"/>
      <c r="S30" s="652">
        <f>SUM(S20:S29)</f>
        <v>-1656400</v>
      </c>
      <c r="T30" s="707"/>
      <c r="U30" s="652">
        <f>SUM(U20:U29)</f>
        <v>-1656400</v>
      </c>
      <c r="V30" s="707"/>
      <c r="W30" s="652">
        <f>SUM(W20:W29)</f>
        <v>18152300.399999999</v>
      </c>
      <c r="X30" s="707"/>
      <c r="Y30" s="652">
        <f>SUM(Y20:Y29)</f>
        <v>0</v>
      </c>
      <c r="Z30" s="707"/>
      <c r="AA30" s="652">
        <f>SUM(AA20:AA29)</f>
        <v>8191869.8000000007</v>
      </c>
      <c r="AB30" s="707"/>
      <c r="AC30" s="652">
        <f>SUM(AC20:AC29)</f>
        <v>26344170.200000003</v>
      </c>
      <c r="AD30" s="707"/>
      <c r="AE30" s="652">
        <f>SUM(AE20:AE29)</f>
        <v>0</v>
      </c>
      <c r="AF30" s="644"/>
      <c r="AG30" s="652">
        <f>SUM(AG20:AG29)</f>
        <v>26344170.200000003</v>
      </c>
      <c r="AH30" s="652"/>
      <c r="AI30" s="652">
        <f>SUM(AI20:AI29)</f>
        <v>26344170.200000003</v>
      </c>
      <c r="AJ30" s="658"/>
      <c r="AK30" s="652">
        <f>SUM(AA20:AA29)</f>
        <v>8191869.8000000007</v>
      </c>
      <c r="AL30" s="652">
        <f>SUM(AL20:AL29)</f>
        <v>34536040</v>
      </c>
      <c r="AM30" s="652">
        <f>SUM(AM20:AM29)</f>
        <v>6177500</v>
      </c>
      <c r="AO30" s="652">
        <f>SUM(AO20:AO29)</f>
        <v>9641002</v>
      </c>
      <c r="AQ30" s="652">
        <f>SUM(AQ20:AQ29)</f>
        <v>124312000</v>
      </c>
      <c r="AR30" s="652">
        <f>SUM(AR20:AR29)</f>
        <v>34536040</v>
      </c>
    </row>
    <row r="31" spans="1:44" ht="6" customHeight="1">
      <c r="A31" s="658"/>
      <c r="B31" s="659"/>
      <c r="C31" s="664"/>
      <c r="D31" s="700"/>
      <c r="E31" s="651"/>
      <c r="F31" s="651"/>
      <c r="G31" s="651"/>
      <c r="H31" s="665"/>
      <c r="I31" s="651"/>
      <c r="J31" s="665"/>
      <c r="K31" s="654"/>
      <c r="L31" s="645"/>
      <c r="M31" s="665"/>
      <c r="N31" s="645"/>
      <c r="O31" s="768"/>
      <c r="P31" s="768"/>
      <c r="Q31" s="768"/>
      <c r="R31" s="707"/>
      <c r="S31" s="768"/>
      <c r="T31" s="707"/>
      <c r="U31" s="768"/>
      <c r="V31" s="707"/>
      <c r="W31" s="768"/>
      <c r="X31" s="707"/>
      <c r="Y31" s="768"/>
      <c r="Z31" s="707"/>
      <c r="AA31" s="768"/>
      <c r="AB31" s="707"/>
      <c r="AC31" s="710"/>
      <c r="AD31" s="707"/>
      <c r="AE31" s="710"/>
      <c r="AF31" s="644"/>
      <c r="AG31" s="644">
        <f t="shared" ref="AG31" si="26">AC31+AE31</f>
        <v>0</v>
      </c>
      <c r="AJ31" s="658"/>
      <c r="AM31" s="665"/>
      <c r="AO31" s="665"/>
    </row>
    <row r="32" spans="1:44" ht="15">
      <c r="A32" s="637" t="s">
        <v>409</v>
      </c>
      <c r="C32" s="646"/>
      <c r="E32" s="646"/>
      <c r="F32" s="646"/>
      <c r="G32" s="646"/>
      <c r="H32" s="638"/>
      <c r="I32" s="646"/>
      <c r="J32" s="638"/>
      <c r="K32" s="656"/>
      <c r="L32" s="645"/>
      <c r="M32" s="638"/>
      <c r="N32" s="645"/>
      <c r="O32" s="657"/>
      <c r="P32" s="657"/>
      <c r="Q32" s="657"/>
      <c r="R32" s="707"/>
      <c r="S32" s="657"/>
      <c r="T32" s="707"/>
      <c r="U32" s="657"/>
      <c r="V32" s="707"/>
      <c r="W32" s="657"/>
      <c r="X32" s="707"/>
      <c r="Y32" s="657"/>
      <c r="Z32" s="707"/>
      <c r="AA32" s="657"/>
      <c r="AB32" s="707"/>
      <c r="AC32" s="657"/>
      <c r="AD32" s="707"/>
      <c r="AE32" s="657"/>
      <c r="AF32" s="644"/>
      <c r="AG32" s="644"/>
      <c r="AJ32" s="637"/>
      <c r="AM32" s="638"/>
      <c r="AQ32" s="634" t="s">
        <v>568</v>
      </c>
    </row>
    <row r="33" spans="1:44">
      <c r="A33" s="709" t="str">
        <f>Sites!A25</f>
        <v>Old Fire Station #24</v>
      </c>
      <c r="C33" s="646">
        <f>SUMIF(Sites!$A:$A,$A33,Sites!$I:$I)</f>
        <v>39535</v>
      </c>
      <c r="D33" s="642"/>
      <c r="E33" s="646">
        <f>SUMIF(Sites!$A:$A,$A33,Sites!$DA:$DA)</f>
        <v>0</v>
      </c>
      <c r="F33" s="643"/>
      <c r="G33" s="646">
        <f>SUMIF(Sites!$A:$A,$A33,Sites!$DB:$DB)</f>
        <v>0</v>
      </c>
      <c r="H33" s="643"/>
      <c r="I33" s="646">
        <f>SUMIF(Sites!$A:$A,$A33,Sites!$J:$J)+SUMIF(Sites!$A:$A,$A33,Sites!$M:$M)</f>
        <v>20000</v>
      </c>
      <c r="J33" s="643"/>
      <c r="K33" s="644">
        <f>SUMIF(Sites!$A:$A,$A33,Sites!$AG:$AG)</f>
        <v>1250000</v>
      </c>
      <c r="L33" s="645"/>
      <c r="M33" s="644">
        <f>IF($M$52=1,AM33,0)</f>
        <v>0</v>
      </c>
      <c r="N33" s="645"/>
      <c r="O33" s="644">
        <f>SUM(K33:N33)</f>
        <v>1250000</v>
      </c>
      <c r="P33" s="707"/>
      <c r="Q33" s="644">
        <f t="shared" ref="Q33:Q34" si="27">-C$43*E33</f>
        <v>0</v>
      </c>
      <c r="R33" s="707"/>
      <c r="S33" s="644">
        <f>-IF(AQ33&gt;40000000,AQ33*$C$46,0)</f>
        <v>0</v>
      </c>
      <c r="T33" s="707"/>
      <c r="U33" s="644">
        <f>-IF(E33+G33&gt;$AQ$6,$C$47*AQ33,0)</f>
        <v>0</v>
      </c>
      <c r="V33" s="707"/>
      <c r="W33" s="644">
        <f>IF(O33+Q33+S33+U33-AO33&gt;0,(O33+Q33+S33+U33-AO33)*$C$44,0)</f>
        <v>1250000</v>
      </c>
      <c r="X33" s="707"/>
      <c r="Y33" s="644">
        <f>IF($M$52=1,AY33,0)</f>
        <v>0</v>
      </c>
      <c r="Z33" s="707"/>
      <c r="AA33" s="644">
        <f>IF(O33+Q33-AO33&gt;0,AO33,O33+Q33+S33+U33)</f>
        <v>0</v>
      </c>
      <c r="AB33" s="707"/>
      <c r="AC33" s="644">
        <f>SUM(W33:AA33)</f>
        <v>1250000</v>
      </c>
      <c r="AD33" s="707"/>
      <c r="AE33" s="644">
        <v>0</v>
      </c>
      <c r="AF33" s="644"/>
      <c r="AG33" s="644">
        <f t="shared" ref="AG33:AG34" si="28">AC33+AE33</f>
        <v>1250000</v>
      </c>
      <c r="AH33" s="644" t="b">
        <f>AC33=AI33</f>
        <v>1</v>
      </c>
      <c r="AI33" s="647">
        <f>SUMIF(Sites!$A:$A,$A33,Sites!$DR:$DR)</f>
        <v>1250000</v>
      </c>
      <c r="AJ33" s="641"/>
      <c r="AL33" s="647">
        <f>AC33+AA33</f>
        <v>1250000</v>
      </c>
      <c r="AM33" s="644">
        <f>SUMIF(Sites!$A:$A,$A33,Sites!$DE:$DE)</f>
        <v>0</v>
      </c>
      <c r="AO33" s="644">
        <f>(AO$1-AM$1)*SUM($E33:$G33)*$C$42</f>
        <v>0</v>
      </c>
      <c r="AP33" s="699"/>
      <c r="AQ33" s="645">
        <f>I33*270</f>
        <v>5400000</v>
      </c>
      <c r="AR33" s="647">
        <f>AC33+AA33</f>
        <v>1250000</v>
      </c>
    </row>
    <row r="34" spans="1:44">
      <c r="A34" s="709" t="str">
        <f>Sites!A26</f>
        <v xml:space="preserve">66th &amp; San Leandro </v>
      </c>
      <c r="C34" s="646">
        <f>SUMIF(Sites!$A:$A,$A34,Sites!$I:$I)</f>
        <v>274428</v>
      </c>
      <c r="E34" s="646">
        <f>SUMIF(Sites!$A:$A,$A34,Sites!$DA:$DA)</f>
        <v>0</v>
      </c>
      <c r="F34" s="646"/>
      <c r="G34" s="643">
        <v>0</v>
      </c>
      <c r="H34" s="643"/>
      <c r="I34" s="646">
        <f>SUMIF(Sites!$A:$A,$A34,Sites!$J:$J)+SUMIF(Sites!$A:$A,$A34,Sites!$M:$M)</f>
        <v>274428</v>
      </c>
      <c r="J34" s="667"/>
      <c r="K34" s="644">
        <f>SUMIF(Sites!$A:$A,$A34,Sites!$AG:$AG)</f>
        <v>9604980</v>
      </c>
      <c r="L34" s="645"/>
      <c r="M34" s="644">
        <v>0</v>
      </c>
      <c r="N34" s="645"/>
      <c r="O34" s="644">
        <f>SUM(K34:N34)</f>
        <v>9604980</v>
      </c>
      <c r="P34" s="707"/>
      <c r="Q34" s="644">
        <f t="shared" si="27"/>
        <v>0</v>
      </c>
      <c r="R34" s="707"/>
      <c r="S34" s="644">
        <f>-IF(AQ34&gt;40000000,AQ34*$C$46,0)</f>
        <v>-2469852</v>
      </c>
      <c r="T34" s="707"/>
      <c r="U34" s="644">
        <f>-IF($AQ$34&gt;40000000,$AQ$34*$C$47,0)</f>
        <v>-2469852</v>
      </c>
      <c r="V34" s="707"/>
      <c r="W34" s="644">
        <f>IF(O34+Q34+S34+U34-AO34&gt;0,(O34+Q34+S34+U34-AO34)*$C$44,O34+Q34+S34+U34)</f>
        <v>4665276</v>
      </c>
      <c r="X34" s="707"/>
      <c r="Y34" s="644">
        <f>AM34</f>
        <v>1496568</v>
      </c>
      <c r="Z34" s="707"/>
      <c r="AA34" s="644">
        <f>IF(O34+Q34-AO34&gt;0,AO34,O34+Q34+S34+U34)</f>
        <v>0</v>
      </c>
      <c r="AB34" s="707"/>
      <c r="AC34" s="644">
        <f>SUM(W34:Y34)</f>
        <v>6161844</v>
      </c>
      <c r="AD34" s="707"/>
      <c r="AE34" s="644">
        <v>0</v>
      </c>
      <c r="AF34" s="644"/>
      <c r="AG34" s="644">
        <f t="shared" si="28"/>
        <v>6161844</v>
      </c>
      <c r="AH34" s="644" t="b">
        <f>AI34=(AC34+AK34)</f>
        <v>1</v>
      </c>
      <c r="AI34" s="644">
        <f>SUMIF(Sites!$A:$A,$A34,Sites!$DR:$DR)</f>
        <v>6161844</v>
      </c>
      <c r="AJ34" s="641"/>
      <c r="AM34" s="644">
        <f>(C34-25000)*6</f>
        <v>1496568</v>
      </c>
      <c r="AQ34" s="645">
        <f>I34*180</f>
        <v>49397040</v>
      </c>
    </row>
    <row r="35" spans="1:44" ht="15">
      <c r="A35" s="637" t="s">
        <v>556</v>
      </c>
      <c r="B35" s="659"/>
      <c r="C35" s="660">
        <f>SUM(C33:C34)</f>
        <v>313963</v>
      </c>
      <c r="D35" s="659"/>
      <c r="E35" s="650">
        <f>SUM(E33:E34)</f>
        <v>0</v>
      </c>
      <c r="F35" s="664"/>
      <c r="G35" s="650">
        <f>SUM(G33:G34)</f>
        <v>0</v>
      </c>
      <c r="H35" s="651"/>
      <c r="I35" s="668">
        <f>SUM(I33:I34)</f>
        <v>294428</v>
      </c>
      <c r="J35" s="669"/>
      <c r="K35" s="652">
        <f>SUM(K33:K34)</f>
        <v>10854980</v>
      </c>
      <c r="L35" s="654"/>
      <c r="M35" s="652">
        <f>SUM(M33:M34)</f>
        <v>0</v>
      </c>
      <c r="N35" s="654"/>
      <c r="O35" s="652">
        <f>SUM(O33:O34)</f>
        <v>10854980</v>
      </c>
      <c r="P35" s="710"/>
      <c r="Q35" s="652">
        <f>SUM(Q33:Q34)</f>
        <v>0</v>
      </c>
      <c r="R35" s="768"/>
      <c r="S35" s="652">
        <f>SUM(S33:S34)</f>
        <v>-2469852</v>
      </c>
      <c r="T35" s="768"/>
      <c r="U35" s="652">
        <f>SUM(U33:U34)</f>
        <v>-2469852</v>
      </c>
      <c r="V35" s="768"/>
      <c r="W35" s="652">
        <f>SUM(W33:W34)</f>
        <v>5915276</v>
      </c>
      <c r="X35" s="768"/>
      <c r="Y35" s="652">
        <f>SUM(Y33:Y34)</f>
        <v>1496568</v>
      </c>
      <c r="Z35" s="768"/>
      <c r="AA35" s="652">
        <f>SUM(AA33:AA34)</f>
        <v>0</v>
      </c>
      <c r="AB35" s="768"/>
      <c r="AC35" s="652">
        <f>SUM(AC33:AC34)</f>
        <v>7411844</v>
      </c>
      <c r="AD35" s="768"/>
      <c r="AE35" s="652">
        <f>SUM(AE33:AE34)</f>
        <v>0</v>
      </c>
      <c r="AF35" s="663"/>
      <c r="AG35" s="652">
        <f>SUM(AG33:AG34)</f>
        <v>7411844</v>
      </c>
      <c r="AJ35" s="637"/>
      <c r="AM35" s="652">
        <f>SUM(AM33:AM34)</f>
        <v>1496568</v>
      </c>
      <c r="AO35" s="674"/>
    </row>
    <row r="36" spans="1:44" ht="6" customHeight="1">
      <c r="B36" s="670"/>
      <c r="C36" s="646"/>
      <c r="E36" s="646"/>
      <c r="F36" s="646"/>
      <c r="G36" s="646"/>
      <c r="H36" s="638"/>
      <c r="I36" s="646"/>
      <c r="J36" s="638"/>
      <c r="K36" s="638"/>
      <c r="L36" s="638"/>
      <c r="M36" s="638"/>
      <c r="N36" s="638"/>
      <c r="O36" s="657"/>
      <c r="P36" s="657"/>
      <c r="Q36" s="657"/>
      <c r="R36" s="657"/>
      <c r="S36" s="657"/>
      <c r="T36" s="657"/>
      <c r="U36" s="657"/>
      <c r="V36" s="657"/>
      <c r="W36" s="657"/>
      <c r="X36" s="657"/>
      <c r="Y36" s="657"/>
      <c r="Z36" s="657"/>
      <c r="AA36" s="657"/>
      <c r="AB36" s="657"/>
      <c r="AC36" s="657"/>
      <c r="AD36" s="657"/>
      <c r="AE36" s="657"/>
      <c r="AF36" s="657"/>
      <c r="AG36" s="657"/>
      <c r="AM36" s="638"/>
      <c r="AO36" s="638"/>
    </row>
    <row r="37" spans="1:44" ht="15">
      <c r="A37" s="659" t="s">
        <v>483</v>
      </c>
      <c r="B37" s="671"/>
      <c r="C37" s="660">
        <f>C17+C30+C35</f>
        <v>1064066</v>
      </c>
      <c r="D37" s="659"/>
      <c r="E37" s="660">
        <f>E17+E30+E35</f>
        <v>755</v>
      </c>
      <c r="F37" s="661"/>
      <c r="G37" s="660">
        <f>G17+G30+G35</f>
        <v>322</v>
      </c>
      <c r="H37" s="672"/>
      <c r="I37" s="660">
        <f>I17+I30+I35</f>
        <v>294428</v>
      </c>
      <c r="J37" s="672"/>
      <c r="K37" s="652">
        <f>K17+K30+K35</f>
        <v>93298165</v>
      </c>
      <c r="L37" s="654"/>
      <c r="M37" s="652">
        <f>M17+M30+M35</f>
        <v>6177500</v>
      </c>
      <c r="N37" s="654"/>
      <c r="O37" s="652">
        <f>O17+O30+O35</f>
        <v>99475665</v>
      </c>
      <c r="P37" s="710"/>
      <c r="Q37" s="652">
        <f>Q17+Q30+Q35</f>
        <v>-83823180.799999997</v>
      </c>
      <c r="R37" s="657"/>
      <c r="S37" s="652">
        <f>S17+S30+S35</f>
        <v>-4126252</v>
      </c>
      <c r="T37" s="657"/>
      <c r="U37" s="652">
        <f>U17+U30+U35</f>
        <v>-12129452</v>
      </c>
      <c r="V37" s="657"/>
      <c r="W37" s="652">
        <f>W17+W30+W35</f>
        <v>-54958519.600000001</v>
      </c>
      <c r="X37" s="768"/>
      <c r="Y37" s="652">
        <f>Y17+Y30+Y35</f>
        <v>1496568</v>
      </c>
      <c r="Z37" s="768"/>
      <c r="AA37" s="652">
        <f>AA17+AA30+AA35</f>
        <v>8191869.8000000007</v>
      </c>
      <c r="AB37" s="657"/>
      <c r="AC37" s="652">
        <f>AC17+AC30+AC35</f>
        <v>-45270081.799999997</v>
      </c>
      <c r="AD37" s="768"/>
      <c r="AE37" s="652">
        <f>AE17+AE30+AE35</f>
        <v>0</v>
      </c>
      <c r="AF37" s="663"/>
      <c r="AG37" s="652">
        <f>AG17+AG30+AG35</f>
        <v>-45270081.799999997</v>
      </c>
      <c r="AH37" s="644" t="b">
        <f>AC37=AI37</f>
        <v>1</v>
      </c>
      <c r="AI37" s="657">
        <f>Summary!M23</f>
        <v>-45270081.799999997</v>
      </c>
      <c r="AJ37" s="659"/>
      <c r="AK37" s="657">
        <f>AC37</f>
        <v>-45270081.799999997</v>
      </c>
      <c r="AL37" s="657"/>
      <c r="AM37" s="652">
        <f>AM35+AM30</f>
        <v>7674068</v>
      </c>
      <c r="AO37" s="674"/>
    </row>
    <row r="38" spans="1:44" ht="6" customHeight="1">
      <c r="A38" s="659"/>
      <c r="B38" s="670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74"/>
      <c r="AD38" s="638"/>
      <c r="AE38" s="674"/>
      <c r="AF38" s="663"/>
      <c r="AG38" s="663"/>
      <c r="AJ38" s="659"/>
      <c r="AO38" s="638"/>
    </row>
    <row r="39" spans="1:44" ht="15">
      <c r="A39" s="659" t="s">
        <v>557</v>
      </c>
      <c r="B39" s="664"/>
      <c r="C39" s="664"/>
      <c r="D39" s="664"/>
      <c r="E39" s="661"/>
      <c r="F39" s="664"/>
      <c r="G39" s="672"/>
      <c r="H39" s="664"/>
      <c r="I39" s="672"/>
      <c r="J39" s="663"/>
      <c r="K39" s="673"/>
      <c r="L39" s="663"/>
      <c r="M39" s="673"/>
      <c r="N39" s="663"/>
      <c r="O39" s="674"/>
      <c r="P39" s="663"/>
      <c r="Q39" s="673"/>
      <c r="R39" s="663"/>
      <c r="S39" s="673"/>
      <c r="T39" s="663"/>
      <c r="U39" s="673"/>
      <c r="V39" s="663"/>
      <c r="W39" s="673"/>
      <c r="X39" s="663"/>
      <c r="Y39" s="673"/>
      <c r="Z39" s="663"/>
      <c r="AA39" s="673"/>
      <c r="AD39" s="663"/>
      <c r="AE39" s="675">
        <f>E37/SUM(E37:G37)</f>
        <v>0.70102135561745593</v>
      </c>
      <c r="AF39" s="675"/>
      <c r="AG39" s="675"/>
      <c r="AH39" s="627" t="b">
        <f>AG37=AI37</f>
        <v>1</v>
      </c>
      <c r="AJ39" s="671"/>
    </row>
    <row r="40" spans="1:44" ht="6" customHeight="1">
      <c r="B40" s="670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R40" s="638"/>
      <c r="S40" s="638"/>
      <c r="T40" s="638"/>
      <c r="U40" s="638"/>
      <c r="V40" s="638"/>
      <c r="W40" s="638"/>
      <c r="X40" s="638"/>
      <c r="Y40" s="638"/>
      <c r="Z40" s="638"/>
      <c r="AA40" s="638"/>
      <c r="AB40" s="638"/>
      <c r="AC40" s="674"/>
      <c r="AD40" s="638"/>
      <c r="AE40" s="674"/>
      <c r="AO40" s="638"/>
    </row>
    <row r="41" spans="1:44" ht="15">
      <c r="A41" s="676" t="s">
        <v>558</v>
      </c>
      <c r="B41" s="677"/>
      <c r="C41" s="678"/>
      <c r="D41" s="679"/>
      <c r="E41" s="678"/>
      <c r="F41" s="678"/>
      <c r="G41" s="678"/>
      <c r="H41" s="678"/>
      <c r="I41" s="678"/>
      <c r="J41" s="678"/>
      <c r="K41" s="678"/>
      <c r="L41" s="678"/>
      <c r="M41" s="678"/>
      <c r="N41" s="678"/>
      <c r="O41" s="678"/>
      <c r="P41" s="678"/>
      <c r="Q41" s="678"/>
      <c r="R41" s="678"/>
      <c r="S41" s="678"/>
      <c r="T41" s="678"/>
      <c r="U41" s="678"/>
      <c r="V41" s="678"/>
      <c r="W41" s="678"/>
      <c r="X41" s="678"/>
      <c r="Y41" s="678"/>
      <c r="Z41" s="678"/>
      <c r="AA41" s="678"/>
      <c r="AB41" s="678"/>
      <c r="AC41" s="701"/>
      <c r="AD41" s="678"/>
      <c r="AE41" s="701"/>
      <c r="AJ41" s="679"/>
      <c r="AO41" s="638"/>
    </row>
    <row r="42" spans="1:44" ht="15">
      <c r="A42" s="627" t="s">
        <v>658</v>
      </c>
      <c r="B42" s="670"/>
      <c r="C42" s="680">
        <f>Sites!DH3</f>
        <v>101752</v>
      </c>
      <c r="E42" s="638"/>
      <c r="F42" s="638"/>
      <c r="G42" s="638"/>
      <c r="H42" s="638"/>
      <c r="I42" s="638"/>
      <c r="J42" s="638"/>
      <c r="K42" s="638"/>
      <c r="L42" s="638"/>
      <c r="M42" s="638"/>
      <c r="N42" s="638"/>
      <c r="O42" s="638"/>
      <c r="P42" s="638"/>
      <c r="Q42" s="638"/>
      <c r="R42" s="638"/>
      <c r="S42" s="638"/>
      <c r="T42" s="638"/>
      <c r="U42" s="638"/>
      <c r="V42" s="638"/>
      <c r="W42" s="638"/>
      <c r="X42" s="638"/>
      <c r="Y42" s="638"/>
      <c r="Z42" s="638"/>
      <c r="AA42" s="638"/>
      <c r="AB42" s="638"/>
      <c r="AC42" s="674"/>
      <c r="AD42" s="638"/>
      <c r="AE42" s="674"/>
      <c r="AO42" s="638"/>
    </row>
    <row r="43" spans="1:44" ht="15">
      <c r="A43" s="627" t="s">
        <v>640</v>
      </c>
      <c r="B43" s="670"/>
      <c r="C43" s="680">
        <f>'SLA minimum'!C44</f>
        <v>224566.39999999997</v>
      </c>
      <c r="E43" s="638"/>
      <c r="F43" s="638"/>
      <c r="G43" s="638"/>
      <c r="H43" s="638"/>
      <c r="I43" s="638"/>
      <c r="J43" s="638"/>
      <c r="K43" s="638"/>
      <c r="L43" s="638"/>
      <c r="M43" s="638"/>
      <c r="N43" s="638"/>
      <c r="O43" s="638"/>
      <c r="P43" s="638"/>
      <c r="Q43" s="638"/>
      <c r="R43" s="638"/>
      <c r="S43" s="638"/>
      <c r="T43" s="638"/>
      <c r="U43" s="638"/>
      <c r="V43" s="638"/>
      <c r="W43" s="638"/>
      <c r="X43" s="638"/>
      <c r="Y43" s="638"/>
      <c r="Z43" s="638"/>
      <c r="AA43" s="638"/>
      <c r="AB43" s="638"/>
      <c r="AC43" s="674"/>
      <c r="AD43" s="638"/>
      <c r="AE43" s="674"/>
      <c r="AO43" s="638"/>
    </row>
    <row r="44" spans="1:44" ht="15">
      <c r="A44" s="627" t="s">
        <v>641</v>
      </c>
      <c r="B44" s="670"/>
      <c r="C44" s="703">
        <v>1</v>
      </c>
      <c r="E44" s="725"/>
      <c r="F44" s="638"/>
      <c r="G44" s="638"/>
      <c r="H44" s="638"/>
      <c r="I44" s="638"/>
      <c r="J44" s="638"/>
      <c r="K44" s="638"/>
      <c r="L44" s="638"/>
      <c r="M44" s="638"/>
      <c r="N44" s="638"/>
      <c r="O44" s="638"/>
      <c r="P44" s="638"/>
      <c r="Q44" s="638"/>
      <c r="R44" s="638"/>
      <c r="S44" s="638"/>
      <c r="T44" s="638"/>
      <c r="U44" s="638"/>
      <c r="V44" s="638"/>
      <c r="W44" s="638"/>
      <c r="X44" s="638"/>
      <c r="Y44" s="638"/>
      <c r="Z44" s="638"/>
      <c r="AA44" s="638"/>
      <c r="AB44" s="638"/>
      <c r="AC44" s="674"/>
      <c r="AD44" s="638"/>
      <c r="AE44" s="674"/>
      <c r="AO44" s="638"/>
    </row>
    <row r="45" spans="1:44" ht="15">
      <c r="A45" s="627" t="s">
        <v>614</v>
      </c>
      <c r="B45" s="670"/>
      <c r="C45" s="680">
        <v>328000</v>
      </c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U45" s="638"/>
      <c r="V45" s="638"/>
      <c r="W45" s="638"/>
      <c r="X45" s="638"/>
      <c r="Y45" s="638"/>
      <c r="Z45" s="638"/>
      <c r="AA45" s="638"/>
      <c r="AB45" s="638"/>
      <c r="AC45" s="674"/>
      <c r="AD45" s="638"/>
      <c r="AE45" s="674"/>
      <c r="AO45" s="638"/>
    </row>
    <row r="46" spans="1:44" ht="15">
      <c r="A46" s="627" t="s">
        <v>652</v>
      </c>
      <c r="B46" s="670"/>
      <c r="C46" s="704">
        <v>0.05</v>
      </c>
      <c r="E46" s="638"/>
      <c r="F46" s="638"/>
      <c r="G46" s="638"/>
      <c r="H46" s="638"/>
      <c r="I46" s="638"/>
      <c r="J46" s="638"/>
      <c r="K46" s="638"/>
      <c r="L46" s="638"/>
      <c r="M46" s="638"/>
      <c r="N46" s="638"/>
      <c r="O46" s="638"/>
      <c r="P46" s="638"/>
      <c r="Q46" s="638"/>
      <c r="R46" s="638"/>
      <c r="S46" s="638"/>
      <c r="T46" s="638"/>
      <c r="U46" s="638"/>
      <c r="V46" s="638"/>
      <c r="W46" s="638"/>
      <c r="X46" s="638"/>
      <c r="Y46" s="638"/>
      <c r="Z46" s="638"/>
      <c r="AA46" s="638"/>
      <c r="AB46" s="638"/>
      <c r="AC46" s="674"/>
      <c r="AD46" s="638"/>
      <c r="AE46" s="674"/>
      <c r="AO46" s="638"/>
    </row>
    <row r="47" spans="1:44" ht="15">
      <c r="A47" s="627" t="s">
        <v>653</v>
      </c>
      <c r="B47" s="670"/>
      <c r="C47" s="704">
        <v>0.05</v>
      </c>
      <c r="E47" s="638"/>
      <c r="F47" s="638"/>
      <c r="G47" s="638"/>
      <c r="H47" s="638"/>
      <c r="I47" s="638"/>
      <c r="J47" s="638"/>
      <c r="K47" s="638"/>
      <c r="L47" s="638"/>
      <c r="M47" s="638"/>
      <c r="N47" s="638"/>
      <c r="O47" s="638"/>
      <c r="P47" s="638"/>
      <c r="Q47" s="638"/>
      <c r="R47" s="638"/>
      <c r="S47" s="638"/>
      <c r="T47" s="638"/>
      <c r="U47" s="638"/>
      <c r="V47" s="638"/>
      <c r="W47" s="638"/>
      <c r="X47" s="638"/>
      <c r="Y47" s="638"/>
      <c r="Z47" s="638"/>
      <c r="AA47" s="638"/>
      <c r="AB47" s="638"/>
      <c r="AC47" s="674"/>
      <c r="AD47" s="638"/>
      <c r="AE47" s="674"/>
      <c r="AO47" s="638"/>
    </row>
    <row r="48" spans="1:44" ht="6" customHeight="1">
      <c r="B48" s="670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8"/>
      <c r="T48" s="638"/>
      <c r="U48" s="638"/>
      <c r="V48" s="638"/>
      <c r="W48" s="638"/>
      <c r="X48" s="638"/>
      <c r="Y48" s="638"/>
      <c r="Z48" s="638"/>
      <c r="AA48" s="638"/>
      <c r="AB48" s="638"/>
      <c r="AC48" s="674"/>
      <c r="AD48" s="638"/>
      <c r="AE48" s="674"/>
      <c r="AO48" s="638"/>
    </row>
    <row r="49" spans="1:41" ht="15">
      <c r="A49" s="659" t="s">
        <v>562</v>
      </c>
      <c r="B49" s="670"/>
      <c r="E49" s="638"/>
      <c r="F49" s="638"/>
      <c r="G49" s="638"/>
      <c r="H49" s="638"/>
      <c r="I49" s="638"/>
      <c r="J49" s="638"/>
      <c r="K49" s="638"/>
      <c r="L49" s="638"/>
      <c r="M49" s="638"/>
      <c r="N49" s="638"/>
      <c r="O49" s="638"/>
      <c r="P49" s="638"/>
      <c r="Q49" s="638"/>
      <c r="R49" s="638"/>
      <c r="S49" s="638"/>
      <c r="T49" s="638"/>
      <c r="U49" s="638"/>
      <c r="V49" s="638"/>
      <c r="W49" s="638"/>
      <c r="X49" s="638"/>
      <c r="Y49" s="638"/>
      <c r="Z49" s="638"/>
      <c r="AA49" s="638"/>
      <c r="AB49" s="638"/>
      <c r="AC49" s="674"/>
      <c r="AD49" s="638"/>
      <c r="AE49" s="674"/>
      <c r="AO49" s="638"/>
    </row>
    <row r="50" spans="1:41" ht="15">
      <c r="A50" s="627" t="s">
        <v>671</v>
      </c>
      <c r="B50" s="670"/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U50" s="638"/>
      <c r="V50" s="638"/>
      <c r="W50" s="638"/>
      <c r="X50" s="638"/>
      <c r="Y50" s="638"/>
      <c r="Z50" s="638"/>
      <c r="AA50" s="638"/>
      <c r="AB50" s="638"/>
      <c r="AC50" s="674"/>
      <c r="AD50" s="638"/>
      <c r="AE50" s="674"/>
      <c r="AO50" s="638"/>
    </row>
    <row r="51" spans="1:41" ht="14.25" thickBot="1">
      <c r="B51" s="670"/>
      <c r="C51" s="627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D51" s="638"/>
      <c r="AO51" s="638"/>
    </row>
    <row r="52" spans="1:41" ht="16.5" thickBot="1">
      <c r="A52" s="700" t="s">
        <v>570</v>
      </c>
      <c r="B52" s="670"/>
      <c r="D52" s="685"/>
      <c r="E52" s="638"/>
      <c r="F52" s="638"/>
      <c r="G52" s="638"/>
      <c r="H52" s="638"/>
      <c r="I52" s="638"/>
      <c r="J52" s="638"/>
      <c r="K52" s="638"/>
      <c r="L52" s="638"/>
      <c r="M52" s="705">
        <v>1</v>
      </c>
      <c r="N52" s="638"/>
      <c r="O52" s="638"/>
      <c r="P52" s="638"/>
      <c r="Q52" s="638"/>
      <c r="R52" s="638"/>
      <c r="S52" s="638"/>
      <c r="T52" s="638"/>
      <c r="U52" s="638"/>
      <c r="V52" s="638"/>
      <c r="W52" s="638"/>
      <c r="X52" s="638"/>
      <c r="Y52"/>
      <c r="Z52" s="638"/>
      <c r="AA52"/>
      <c r="AB52" s="638"/>
      <c r="AD52" s="638"/>
      <c r="AJ52" s="700"/>
      <c r="AO52" s="638"/>
    </row>
    <row r="53" spans="1:41">
      <c r="A53" s="670"/>
      <c r="B53" s="670"/>
      <c r="D53" s="685"/>
      <c r="E53" s="638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D53" s="638"/>
      <c r="AF53" s="644"/>
      <c r="AG53" s="644"/>
      <c r="AJ53" s="670"/>
      <c r="AO53" s="638"/>
    </row>
    <row r="54" spans="1:41">
      <c r="AF54" s="644"/>
      <c r="AG54" s="644"/>
    </row>
  </sheetData>
  <sheetProtection algorithmName="SHA-512" hashValue="KFRan1l7IcatgnKdk2jbSWLkUbaHvdcObBDBBG23+dxp881aFz+ISATSx+60yMJ6u5LmoLyeh7EkhwBrcJHL5g==" saltValue="IIQexlC40pzWsDhQW8LmEg==" spinCount="100000" sheet="1" objects="1" scenarios="1"/>
  <mergeCells count="1">
    <mergeCell ref="AC3:AE3"/>
  </mergeCells>
  <dataValidations count="1">
    <dataValidation type="list" allowBlank="1" showInputMessage="1" showErrorMessage="1" sqref="M52">
      <formula1>"0,1"</formula1>
    </dataValidation>
  </dataValidations>
  <printOptions horizontalCentered="1"/>
  <pageMargins left="0.7" right="0.7" top="0.75" bottom="0.75" header="0.3" footer="0.3"/>
  <pageSetup scale="64" orientation="landscape" r:id="rId1"/>
  <headerFooter>
    <oddHeader>&amp;C&amp;16Attachment B: Summary Table of Affordable Housing Outcomes Under Guillen/Kaplan Proposal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55"/>
  <sheetViews>
    <sheetView showGridLines="0" view="pageBreakPreview" zoomScaleNormal="100" zoomScaleSheetLayoutView="100" workbookViewId="0">
      <pane xSplit="3" ySplit="4" topLeftCell="D17" activePane="bottomRight" state="frozen"/>
      <selection activeCell="AB1" sqref="AB1:AC1048576"/>
      <selection pane="topRight" activeCell="AB1" sqref="AB1:AC1048576"/>
      <selection pane="bottomLeft" activeCell="AB1" sqref="AB1:AC1048576"/>
      <selection pane="bottomRight" sqref="A1:XFD1048576"/>
    </sheetView>
  </sheetViews>
  <sheetFormatPr defaultColWidth="7.5703125" defaultRowHeight="13.5"/>
  <cols>
    <col min="1" max="1" width="38.7109375" style="627" customWidth="1"/>
    <col min="2" max="2" width="1" style="627" customWidth="1"/>
    <col min="3" max="3" width="10" style="638" customWidth="1"/>
    <col min="4" max="4" width="1" style="627" customWidth="1"/>
    <col min="5" max="5" width="5.5703125" style="627" customWidth="1"/>
    <col min="6" max="6" width="1" style="627" customWidth="1"/>
    <col min="7" max="7" width="7.28515625" style="627" customWidth="1"/>
    <col min="8" max="8" width="1" style="627" customWidth="1"/>
    <col min="9" max="9" width="11.42578125" style="627" customWidth="1"/>
    <col min="10" max="10" width="1.140625" style="627" customWidth="1"/>
    <col min="11" max="11" width="11.5703125" style="627" customWidth="1"/>
    <col min="12" max="12" width="1.7109375" style="627" customWidth="1"/>
    <col min="13" max="13" width="8.85546875" style="627" customWidth="1"/>
    <col min="14" max="14" width="2.28515625" style="627" customWidth="1"/>
    <col min="15" max="15" width="10.85546875" style="627" customWidth="1"/>
    <col min="16" max="16" width="2.28515625" style="627" customWidth="1"/>
    <col min="17" max="17" width="10.28515625" style="627" customWidth="1"/>
    <col min="18" max="18" width="2.28515625" style="627" customWidth="1"/>
    <col min="19" max="19" width="8.28515625" style="627" bestFit="1" customWidth="1"/>
    <col min="20" max="20" width="2.28515625" style="627" customWidth="1"/>
    <col min="21" max="21" width="11.7109375" style="627" customWidth="1"/>
    <col min="22" max="22" width="2.28515625" style="627" customWidth="1"/>
    <col min="23" max="23" width="9.28515625" style="627" bestFit="1" customWidth="1"/>
    <col min="24" max="24" width="2.140625" style="627" customWidth="1"/>
    <col min="25" max="25" width="9.28515625" style="627" customWidth="1"/>
    <col min="26" max="26" width="10.7109375" style="627" bestFit="1" customWidth="1"/>
    <col min="27" max="27" width="12.5703125" style="627" bestFit="1" customWidth="1"/>
    <col min="28" max="28" width="17.85546875" style="627" customWidth="1"/>
    <col min="29" max="29" width="12.5703125" style="627" bestFit="1" customWidth="1"/>
    <col min="30" max="16384" width="7.5703125" style="627"/>
  </cols>
  <sheetData>
    <row r="1" spans="1:29" ht="15">
      <c r="A1" s="621" t="s">
        <v>533</v>
      </c>
      <c r="B1" s="621"/>
      <c r="C1" s="622" t="s">
        <v>534</v>
      </c>
      <c r="D1" s="622"/>
      <c r="E1" s="622" t="s">
        <v>535</v>
      </c>
      <c r="F1" s="622"/>
      <c r="G1" s="622" t="s">
        <v>536</v>
      </c>
      <c r="H1" s="622"/>
      <c r="I1" s="622" t="s">
        <v>537</v>
      </c>
      <c r="J1" s="622"/>
      <c r="K1" s="622" t="s">
        <v>538</v>
      </c>
      <c r="L1" s="622"/>
      <c r="M1" s="622" t="s">
        <v>539</v>
      </c>
      <c r="N1" s="622"/>
      <c r="O1" s="622" t="s">
        <v>540</v>
      </c>
      <c r="P1" s="622"/>
      <c r="Q1" s="622" t="s">
        <v>541</v>
      </c>
      <c r="R1" s="622"/>
      <c r="S1" s="622" t="s">
        <v>542</v>
      </c>
      <c r="T1" s="622"/>
      <c r="U1" s="622" t="s">
        <v>543</v>
      </c>
      <c r="V1" s="622"/>
      <c r="W1" s="622" t="s">
        <v>544</v>
      </c>
      <c r="X1" s="622"/>
      <c r="Y1" s="622" t="s">
        <v>545</v>
      </c>
      <c r="AB1" s="621"/>
    </row>
    <row r="2" spans="1:29" ht="6" customHeight="1">
      <c r="X2" s="625"/>
      <c r="Y2" s="625"/>
    </row>
    <row r="3" spans="1:29" ht="15">
      <c r="C3" s="628" t="s">
        <v>563</v>
      </c>
      <c r="D3" s="629"/>
      <c r="E3" s="629"/>
      <c r="F3" s="629"/>
      <c r="G3" s="629"/>
      <c r="H3" s="629"/>
      <c r="I3" s="630"/>
      <c r="K3" s="686" t="s">
        <v>592</v>
      </c>
      <c r="L3" s="687"/>
      <c r="M3" s="687"/>
      <c r="N3" s="687"/>
      <c r="O3" s="687"/>
      <c r="Q3" s="686" t="s">
        <v>311</v>
      </c>
      <c r="R3" s="687"/>
      <c r="S3" s="687"/>
      <c r="U3" s="865" t="s">
        <v>612</v>
      </c>
      <c r="V3" s="866"/>
      <c r="W3" s="866"/>
      <c r="X3" s="795"/>
      <c r="Y3" s="795"/>
    </row>
    <row r="4" spans="1:29" ht="75">
      <c r="A4" s="621" t="s">
        <v>60</v>
      </c>
      <c r="B4" s="689"/>
      <c r="C4" s="622" t="s">
        <v>547</v>
      </c>
      <c r="D4" s="634"/>
      <c r="E4" s="634" t="s">
        <v>548</v>
      </c>
      <c r="F4" s="634"/>
      <c r="G4" s="634" t="s">
        <v>332</v>
      </c>
      <c r="H4" s="634"/>
      <c r="I4" s="634" t="s">
        <v>549</v>
      </c>
      <c r="J4" s="635"/>
      <c r="K4" s="634" t="s">
        <v>550</v>
      </c>
      <c r="L4" s="634" t="s">
        <v>368</v>
      </c>
      <c r="M4" s="634" t="s">
        <v>659</v>
      </c>
      <c r="N4" s="634" t="s">
        <v>551</v>
      </c>
      <c r="O4" s="634" t="s">
        <v>564</v>
      </c>
      <c r="P4" s="634" t="s">
        <v>368</v>
      </c>
      <c r="Q4" s="634" t="s">
        <v>604</v>
      </c>
      <c r="R4" s="634" t="s">
        <v>368</v>
      </c>
      <c r="S4" s="634" t="s">
        <v>650</v>
      </c>
      <c r="T4" s="634" t="s">
        <v>551</v>
      </c>
      <c r="U4" s="634" t="s">
        <v>388</v>
      </c>
      <c r="V4" s="634" t="s">
        <v>368</v>
      </c>
      <c r="W4" s="634" t="s">
        <v>450</v>
      </c>
      <c r="X4" s="634" t="s">
        <v>551</v>
      </c>
      <c r="Y4" s="634" t="str">
        <f>Summary!$A$30</f>
        <v>Total Net City Fund Impact (AHTF + Other)</v>
      </c>
      <c r="AB4" s="621" t="s">
        <v>642</v>
      </c>
      <c r="AC4" s="634" t="s">
        <v>565</v>
      </c>
    </row>
    <row r="5" spans="1:29" ht="6" customHeight="1">
      <c r="A5" s="624"/>
      <c r="B5" s="624"/>
      <c r="C5" s="636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AB5" s="624"/>
    </row>
    <row r="6" spans="1:29" ht="18.75">
      <c r="A6" s="726" t="s">
        <v>599</v>
      </c>
      <c r="E6" s="639"/>
      <c r="F6" s="639"/>
      <c r="G6" s="639"/>
      <c r="H6" s="639"/>
      <c r="I6" s="639"/>
      <c r="J6" s="639"/>
      <c r="K6" s="640"/>
      <c r="L6" s="639"/>
      <c r="M6" s="639"/>
      <c r="N6" s="640"/>
      <c r="O6" s="639"/>
      <c r="P6" s="640"/>
      <c r="Q6" s="639"/>
      <c r="R6" s="640"/>
      <c r="S6" s="639"/>
      <c r="T6" s="640"/>
      <c r="V6" s="640"/>
      <c r="AB6" s="637"/>
      <c r="AC6" s="690">
        <v>79</v>
      </c>
    </row>
    <row r="7" spans="1:29" ht="6" customHeight="1">
      <c r="A7" s="637"/>
      <c r="E7" s="639"/>
      <c r="F7" s="639"/>
      <c r="G7" s="639"/>
      <c r="H7" s="639"/>
      <c r="I7" s="639"/>
      <c r="J7" s="639"/>
      <c r="K7" s="640"/>
      <c r="L7" s="639"/>
      <c r="M7" s="639"/>
      <c r="N7" s="640"/>
      <c r="O7" s="639"/>
      <c r="P7" s="640"/>
      <c r="Q7" s="639"/>
      <c r="R7" s="640"/>
      <c r="S7" s="639"/>
      <c r="T7" s="640"/>
      <c r="V7" s="640"/>
      <c r="X7" s="644"/>
      <c r="Y7" s="644"/>
      <c r="AB7" s="637"/>
    </row>
    <row r="8" spans="1:29" ht="15">
      <c r="A8" s="695" t="s">
        <v>610</v>
      </c>
      <c r="E8" s="639"/>
      <c r="F8" s="639"/>
      <c r="G8" s="639"/>
      <c r="H8" s="639"/>
      <c r="I8" s="639"/>
      <c r="J8" s="639"/>
      <c r="K8" s="640"/>
      <c r="L8" s="639"/>
      <c r="M8" s="639"/>
      <c r="N8" s="640"/>
      <c r="O8" s="639"/>
      <c r="P8" s="640"/>
      <c r="Q8" s="639"/>
      <c r="R8" s="640"/>
      <c r="S8" s="639"/>
      <c r="T8" s="640"/>
      <c r="V8" s="640"/>
      <c r="AB8" s="637"/>
    </row>
    <row r="9" spans="1:29">
      <c r="A9" s="709" t="str">
        <f>Sites!A5</f>
        <v>Wood Street</v>
      </c>
      <c r="B9" s="642"/>
      <c r="C9" s="646">
        <f>SUMIF(Sites!$A:$A,$A9,Sites!$I:$I)</f>
        <v>147081</v>
      </c>
      <c r="D9" s="643"/>
      <c r="E9" s="646">
        <f>SUMIF(Sites!$A:$A,$A9,Sites!$FR:$FR)</f>
        <v>41</v>
      </c>
      <c r="F9" s="643"/>
      <c r="G9" s="646">
        <f>SUMIF(Sites!$A:$A,$A9,Sites!$FS:$FS)</f>
        <v>235</v>
      </c>
      <c r="H9" s="643"/>
      <c r="I9" s="643">
        <v>0</v>
      </c>
      <c r="J9" s="643"/>
      <c r="K9" s="644">
        <f>SUMIF(Sites!$A:$A,$A9,Sites!$AG:$AG)</f>
        <v>11766480</v>
      </c>
      <c r="L9" s="707"/>
      <c r="M9" s="644">
        <f>-C$44*E9</f>
        <v>-9207222.3999999985</v>
      </c>
      <c r="N9" s="707"/>
      <c r="O9" s="644">
        <f>K9+M9*1</f>
        <v>2559257.6000000015</v>
      </c>
      <c r="P9" s="657"/>
      <c r="Q9" s="644">
        <f>SUMIF(Sites!$A:$A,$A9,Sites!$FU:$FU)</f>
        <v>0</v>
      </c>
      <c r="R9" s="707"/>
      <c r="S9" s="644">
        <f t="shared" ref="S9:S23" si="0">IF(I9&gt;25000,(I9-25000),0)*6</f>
        <v>0</v>
      </c>
      <c r="T9" s="657"/>
      <c r="U9" s="644">
        <f t="shared" ref="U9:U23" si="1">SUM(O9:S9)</f>
        <v>2559257.6000000015</v>
      </c>
      <c r="V9" s="657"/>
      <c r="W9" s="644">
        <f>SUMIF(Sites!$A:$A,$A9,Sites!$FZ:$FZ)-SUMIF(Sites!$A:$A,$A9,Sites!$GA:$GA)</f>
        <v>0</v>
      </c>
      <c r="X9" s="644"/>
      <c r="Y9" s="644">
        <f>U9+W9</f>
        <v>2559257.6000000015</v>
      </c>
      <c r="Z9" s="644">
        <f>SUMIF(Sites!$A:$A,$A9,Sites!$GD:$GD)</f>
        <v>2559257.6000000015</v>
      </c>
      <c r="AA9" s="699" t="b">
        <f t="shared" ref="AA9:AA17" si="2">Z9=U9</f>
        <v>1</v>
      </c>
      <c r="AB9" s="641"/>
      <c r="AC9" s="644">
        <f>(E9+G9)*$C$46</f>
        <v>90528000</v>
      </c>
    </row>
    <row r="10" spans="1:29">
      <c r="A10" s="709" t="str">
        <f>Sites!A6</f>
        <v>Rotunda Garage Remainder</v>
      </c>
      <c r="C10" s="646">
        <f>SUMIF(Sites!$A:$A,$A10,Sites!$I:$I)</f>
        <v>6697</v>
      </c>
      <c r="D10" s="642"/>
      <c r="E10" s="646">
        <f>SUMIF(Sites!$A:$A,$A10,Sites!$FR:$FR)</f>
        <v>4</v>
      </c>
      <c r="F10" s="643"/>
      <c r="G10" s="646">
        <f>SUMIF(Sites!$A:$A,$A10,Sites!$FS:$FS)</f>
        <v>21</v>
      </c>
      <c r="H10" s="643"/>
      <c r="I10" s="643">
        <v>0</v>
      </c>
      <c r="J10" s="643"/>
      <c r="K10" s="644">
        <f>SUMIF(Sites!$A:$A,$A10,Sites!$AG:$AG)</f>
        <v>1339400</v>
      </c>
      <c r="L10" s="707"/>
      <c r="M10" s="644">
        <f t="shared" ref="M10:M23" si="3">-C$44*E10</f>
        <v>-898265.59999999986</v>
      </c>
      <c r="N10" s="707"/>
      <c r="O10" s="644">
        <f t="shared" ref="O10:O23" si="4">IF((K10+M10)&gt;0,(K10+M10)*$C$45,(K10+M10))</f>
        <v>0</v>
      </c>
      <c r="P10" s="657"/>
      <c r="Q10" s="644">
        <f>SUMIF(Sites!$A:$A,$A10,Sites!$FU:$FU)</f>
        <v>0</v>
      </c>
      <c r="R10" s="707"/>
      <c r="S10" s="644">
        <f t="shared" si="0"/>
        <v>0</v>
      </c>
      <c r="T10" s="657"/>
      <c r="U10" s="644">
        <f t="shared" si="1"/>
        <v>0</v>
      </c>
      <c r="V10" s="657"/>
      <c r="W10" s="644">
        <f>SUMIF(Sites!$A:$A,$A10,Sites!$FZ:$FZ)-SUMIF(Sites!$A:$A,$A10,Sites!$GA:$GA)</f>
        <v>441134.40000000014</v>
      </c>
      <c r="X10" s="644"/>
      <c r="Y10" s="644">
        <f t="shared" ref="Y10:Y23" si="5">U10+W10</f>
        <v>441134.40000000014</v>
      </c>
      <c r="Z10" s="644">
        <f>SUMIF(Sites!$A:$A,$A10,Sites!$GD:$GD)</f>
        <v>0</v>
      </c>
      <c r="AA10" s="699" t="b">
        <f t="shared" si="2"/>
        <v>1</v>
      </c>
      <c r="AB10" s="641"/>
      <c r="AC10" s="644">
        <f t="shared" ref="AC10:AC23" si="6">(E10+G10)*$C$46</f>
        <v>8200000</v>
      </c>
    </row>
    <row r="11" spans="1:29">
      <c r="A11" s="709" t="str">
        <f>Sites!A7</f>
        <v>MLK Sites</v>
      </c>
      <c r="C11" s="646">
        <f>SUMIF(Sites!$A:$A,$A11,Sites!$I:$I)</f>
        <v>9125</v>
      </c>
      <c r="D11" s="642"/>
      <c r="E11" s="646">
        <f>SUMIF(Sites!$A:$A,$A11,Sites!$FR:$FR)</f>
        <v>3</v>
      </c>
      <c r="F11" s="643"/>
      <c r="G11" s="646">
        <f>SUMIF(Sites!$A:$A,$A11,Sites!$FS:$FS)</f>
        <v>18</v>
      </c>
      <c r="H11" s="643"/>
      <c r="I11" s="643">
        <v>0</v>
      </c>
      <c r="J11" s="643"/>
      <c r="K11" s="644">
        <f>SUMIF(Sites!$A:$A,$A11,Sites!$AG:$AG)</f>
        <v>1095000</v>
      </c>
      <c r="L11" s="707"/>
      <c r="M11" s="644">
        <f t="shared" si="3"/>
        <v>-673699.2</v>
      </c>
      <c r="N11" s="707"/>
      <c r="O11" s="644">
        <f>K11+M11*1</f>
        <v>421300.80000000005</v>
      </c>
      <c r="P11" s="657"/>
      <c r="Q11" s="644">
        <f>SUMIF(Sites!$A:$A,$A11,Sites!$FU:$FU)</f>
        <v>0</v>
      </c>
      <c r="R11" s="707"/>
      <c r="S11" s="644">
        <f t="shared" si="0"/>
        <v>0</v>
      </c>
      <c r="T11" s="657"/>
      <c r="U11" s="644">
        <f t="shared" si="1"/>
        <v>421300.80000000005</v>
      </c>
      <c r="V11" s="657"/>
      <c r="W11" s="644">
        <f>SUMIF(Sites!$A:$A,$A11,Sites!$FZ:$FZ)-SUMIF(Sites!$A:$A,$A11,Sites!$GA:$GA)</f>
        <v>0</v>
      </c>
      <c r="X11" s="644"/>
      <c r="Y11" s="644">
        <f t="shared" si="5"/>
        <v>421300.80000000005</v>
      </c>
      <c r="Z11" s="644">
        <f>SUMIF(Sites!$A:$A,$A11,Sites!$GD:$GD)</f>
        <v>421300.80000000005</v>
      </c>
      <c r="AA11" s="699" t="b">
        <f t="shared" si="2"/>
        <v>1</v>
      </c>
      <c r="AB11" s="641"/>
      <c r="AC11" s="644">
        <f t="shared" si="6"/>
        <v>6888000</v>
      </c>
    </row>
    <row r="12" spans="1:29">
      <c r="A12" s="709" t="str">
        <f>Sites!A8</f>
        <v>Piedmont Ave/Howe St Parking</v>
      </c>
      <c r="B12" s="642"/>
      <c r="C12" s="646">
        <f>SUMIF(Sites!$A:$A,$A12,Sites!$I:$I)</f>
        <v>43532</v>
      </c>
      <c r="D12" s="643"/>
      <c r="E12" s="646">
        <f>SUMIF(Sites!$A:$A,$A12,Sites!$FR:$FR)</f>
        <v>15</v>
      </c>
      <c r="F12" s="643"/>
      <c r="G12" s="646">
        <f>SUMIF(Sites!$A:$A,$A12,Sites!$FS:$FS)</f>
        <v>82</v>
      </c>
      <c r="H12" s="643"/>
      <c r="I12" s="643">
        <v>0</v>
      </c>
      <c r="J12" s="643"/>
      <c r="K12" s="644">
        <f>SUMIF(Sites!$A:$A,$A12,Sites!$AG:$AG)</f>
        <v>15236200</v>
      </c>
      <c r="L12" s="707"/>
      <c r="M12" s="644">
        <f t="shared" si="3"/>
        <v>-3368495.9999999995</v>
      </c>
      <c r="N12" s="707"/>
      <c r="O12" s="644">
        <f t="shared" si="4"/>
        <v>0</v>
      </c>
      <c r="P12" s="657"/>
      <c r="Q12" s="644">
        <f>SUMIF(Sites!$A:$A,$A12,Sites!$FU:$FU)</f>
        <v>0</v>
      </c>
      <c r="R12" s="707"/>
      <c r="S12" s="644">
        <f t="shared" si="0"/>
        <v>0</v>
      </c>
      <c r="T12" s="657"/>
      <c r="U12" s="644">
        <f t="shared" si="1"/>
        <v>0</v>
      </c>
      <c r="V12" s="657"/>
      <c r="W12" s="644">
        <f>SUMIF(Sites!$A:$A,$A12,Sites!$FZ:$FZ)-SUMIF(Sites!$A:$A,$A12,Sites!$GA:$GA)</f>
        <v>11867704</v>
      </c>
      <c r="X12" s="644"/>
      <c r="Y12" s="644">
        <f t="shared" si="5"/>
        <v>11867704</v>
      </c>
      <c r="Z12" s="644">
        <f>SUMIF(Sites!$A:$A,$A12,Sites!$GD:$GD)</f>
        <v>0</v>
      </c>
      <c r="AA12" s="699" t="b">
        <f t="shared" si="2"/>
        <v>1</v>
      </c>
      <c r="AB12" s="641"/>
      <c r="AC12" s="644">
        <f t="shared" si="6"/>
        <v>31816000</v>
      </c>
    </row>
    <row r="13" spans="1:29">
      <c r="A13" s="709" t="str">
        <f>Sites!A10</f>
        <v xml:space="preserve">27th &amp; Foothill </v>
      </c>
      <c r="C13" s="646">
        <f>SUMIF(Sites!$A:$A,$A13,Sites!$I:$I)</f>
        <v>22581</v>
      </c>
      <c r="D13" s="642"/>
      <c r="E13" s="646">
        <f>SUMIF(Sites!$A:$A,$A13,Sites!$FR:$FR)</f>
        <v>8</v>
      </c>
      <c r="F13" s="643"/>
      <c r="G13" s="646">
        <f>SUMIF(Sites!$A:$A,$A13,Sites!$FS:$FS)</f>
        <v>43</v>
      </c>
      <c r="H13" s="643"/>
      <c r="I13" s="643">
        <v>0</v>
      </c>
      <c r="J13" s="643"/>
      <c r="K13" s="644">
        <f>SUMIF(Sites!$A:$A,$A13,Sites!$AG:$AG)</f>
        <v>1016145</v>
      </c>
      <c r="L13" s="707"/>
      <c r="M13" s="644">
        <f t="shared" si="3"/>
        <v>-1796531.1999999997</v>
      </c>
      <c r="N13" s="707"/>
      <c r="O13" s="644">
        <f t="shared" si="4"/>
        <v>-780386.19999999972</v>
      </c>
      <c r="P13" s="657"/>
      <c r="Q13" s="644">
        <f>SUMIF(Sites!$A:$A,$A13,Sites!$FU:$FU)</f>
        <v>0</v>
      </c>
      <c r="R13" s="707"/>
      <c r="S13" s="644">
        <f t="shared" si="0"/>
        <v>0</v>
      </c>
      <c r="T13" s="657"/>
      <c r="U13" s="644">
        <f t="shared" si="1"/>
        <v>-780386.19999999972</v>
      </c>
      <c r="V13" s="657"/>
      <c r="W13" s="644">
        <f>SUMIF(Sites!$A:$A,$A13,Sites!$FZ:$FZ)-SUMIF(Sites!$A:$A,$A13,Sites!$GA:$GA)</f>
        <v>0</v>
      </c>
      <c r="X13" s="644"/>
      <c r="Y13" s="644">
        <f t="shared" si="5"/>
        <v>-780386.19999999972</v>
      </c>
      <c r="Z13" s="644">
        <f>SUMIF(Sites!$A:$A,$A13,Sites!$GD:$GD)</f>
        <v>-780386.19999999972</v>
      </c>
      <c r="AA13" s="699" t="b">
        <f t="shared" si="2"/>
        <v>1</v>
      </c>
      <c r="AB13" s="641"/>
      <c r="AC13" s="644">
        <f t="shared" si="6"/>
        <v>16728000</v>
      </c>
    </row>
    <row r="14" spans="1:29">
      <c r="A14" s="709" t="str">
        <f>Sites!A11</f>
        <v xml:space="preserve">36th &amp; Foothill </v>
      </c>
      <c r="C14" s="646">
        <f>SUMIF(Sites!$A:$A,$A14,Sites!$I:$I)</f>
        <v>34164</v>
      </c>
      <c r="D14" s="642"/>
      <c r="E14" s="646">
        <f>SUMIF(Sites!$A:$A,$A14,Sites!$FR:$FR)</f>
        <v>11</v>
      </c>
      <c r="F14" s="643"/>
      <c r="G14" s="646">
        <f>SUMIF(Sites!$A:$A,$A14,Sites!$FS:$FS)</f>
        <v>65</v>
      </c>
      <c r="H14" s="643"/>
      <c r="I14" s="643">
        <v>0</v>
      </c>
      <c r="J14" s="643"/>
      <c r="K14" s="644">
        <f>SUMIF(Sites!$A:$A,$A14,Sites!$AG:$AG)</f>
        <v>1537380</v>
      </c>
      <c r="L14" s="707"/>
      <c r="M14" s="644">
        <f t="shared" si="3"/>
        <v>-2470230.3999999994</v>
      </c>
      <c r="N14" s="707"/>
      <c r="O14" s="644">
        <f t="shared" si="4"/>
        <v>-932850.39999999944</v>
      </c>
      <c r="P14" s="657"/>
      <c r="Q14" s="644">
        <f>SUMIF(Sites!$A:$A,$A14,Sites!$FU:$FU)</f>
        <v>0</v>
      </c>
      <c r="R14" s="707"/>
      <c r="S14" s="644">
        <f t="shared" si="0"/>
        <v>0</v>
      </c>
      <c r="T14" s="657"/>
      <c r="U14" s="644">
        <f t="shared" si="1"/>
        <v>-932850.39999999944</v>
      </c>
      <c r="V14" s="657"/>
      <c r="W14" s="644">
        <f>SUMIF(Sites!$A:$A,$A14,Sites!$FZ:$FZ)-SUMIF(Sites!$A:$A,$A14,Sites!$GA:$GA)</f>
        <v>0</v>
      </c>
      <c r="X14" s="644"/>
      <c r="Y14" s="644">
        <f t="shared" si="5"/>
        <v>-932850.39999999944</v>
      </c>
      <c r="Z14" s="644">
        <f>SUMIF(Sites!$A:$A,$A14,Sites!$GD:$GD)</f>
        <v>-932850.39999999944</v>
      </c>
      <c r="AA14" s="699" t="b">
        <f t="shared" si="2"/>
        <v>1</v>
      </c>
      <c r="AB14" s="641"/>
      <c r="AC14" s="644">
        <f t="shared" si="6"/>
        <v>24928000</v>
      </c>
    </row>
    <row r="15" spans="1:29">
      <c r="A15" s="709" t="str">
        <f>Sites!A12</f>
        <v>73rd &amp; International</v>
      </c>
      <c r="C15" s="646">
        <f>SUMIF(Sites!$A:$A,$A15,Sites!$I:$I)</f>
        <v>5435</v>
      </c>
      <c r="D15" s="642"/>
      <c r="E15" s="646">
        <f>SUMIF(Sites!$A:$A,$A15,Sites!$FR:$FR)</f>
        <v>2</v>
      </c>
      <c r="F15" s="643"/>
      <c r="G15" s="646">
        <f>SUMIF(Sites!$A:$A,$A15,Sites!$FS:$FS)</f>
        <v>11</v>
      </c>
      <c r="H15" s="643"/>
      <c r="I15" s="643">
        <v>0</v>
      </c>
      <c r="J15" s="643"/>
      <c r="K15" s="644">
        <f>SUMIF(Sites!$A:$A,$A15,Sites!$AG:$AG)</f>
        <v>407625</v>
      </c>
      <c r="L15" s="707"/>
      <c r="M15" s="644">
        <f t="shared" si="3"/>
        <v>-449132.79999999993</v>
      </c>
      <c r="N15" s="707"/>
      <c r="O15" s="644">
        <f t="shared" si="4"/>
        <v>-41507.79999999993</v>
      </c>
      <c r="P15" s="657"/>
      <c r="Q15" s="644">
        <f>SUMIF(Sites!$A:$A,$A15,Sites!$FU:$FU)</f>
        <v>0</v>
      </c>
      <c r="R15" s="707"/>
      <c r="S15" s="644">
        <f t="shared" si="0"/>
        <v>0</v>
      </c>
      <c r="T15" s="657"/>
      <c r="U15" s="644">
        <f t="shared" si="1"/>
        <v>-41507.79999999993</v>
      </c>
      <c r="V15" s="657"/>
      <c r="W15" s="644">
        <f>SUMIF(Sites!$A:$A,$A15,Sites!$FZ:$FZ)-SUMIF(Sites!$A:$A,$A15,Sites!$GA:$GA)</f>
        <v>0</v>
      </c>
      <c r="X15" s="644"/>
      <c r="Y15" s="644">
        <f t="shared" si="5"/>
        <v>-41507.79999999993</v>
      </c>
      <c r="Z15" s="644">
        <f>SUMIF(Sites!$A:$A,$A15,Sites!$GD:$GD)</f>
        <v>-41507.79999999993</v>
      </c>
      <c r="AA15" s="699" t="b">
        <f t="shared" si="2"/>
        <v>1</v>
      </c>
      <c r="AB15" s="641"/>
      <c r="AC15" s="644">
        <f t="shared" si="6"/>
        <v>4264000</v>
      </c>
    </row>
    <row r="16" spans="1:29" ht="15">
      <c r="A16" s="709" t="str">
        <f>Sites!A13</f>
        <v xml:space="preserve">Clara &amp; Edes </v>
      </c>
      <c r="C16" s="646">
        <f>SUMIF(Sites!$A:$A,$A16,Sites!$I:$I)</f>
        <v>26311</v>
      </c>
      <c r="D16" s="642"/>
      <c r="E16" s="646">
        <f>SUMIF(Sites!$A:$A,$A16,Sites!$FR:$FR)</f>
        <v>5</v>
      </c>
      <c r="F16" s="643"/>
      <c r="G16" s="646">
        <f>SUMIF(Sites!$A:$A,$A16,Sites!$FS:$FS)</f>
        <v>25</v>
      </c>
      <c r="H16" s="643"/>
      <c r="I16" s="643">
        <v>0</v>
      </c>
      <c r="J16" s="643"/>
      <c r="K16" s="644">
        <f>SUMIF(Sites!$A:$A,$A16,Sites!$AG:$AG)</f>
        <v>1052440</v>
      </c>
      <c r="L16" s="707"/>
      <c r="M16" s="644">
        <f t="shared" si="3"/>
        <v>-1122831.9999999998</v>
      </c>
      <c r="N16" s="663"/>
      <c r="O16" s="644">
        <f t="shared" si="4"/>
        <v>-70391.999999999767</v>
      </c>
      <c r="P16" s="657"/>
      <c r="Q16" s="644">
        <f>SUMIF(Sites!$A:$A,$A16,Sites!$FU:$FU)</f>
        <v>0</v>
      </c>
      <c r="R16" s="707"/>
      <c r="S16" s="644">
        <f t="shared" si="0"/>
        <v>0</v>
      </c>
      <c r="T16" s="657"/>
      <c r="U16" s="644">
        <f t="shared" si="1"/>
        <v>-70391.999999999767</v>
      </c>
      <c r="V16" s="657"/>
      <c r="W16" s="644">
        <f>SUMIF(Sites!$A:$A,$A16,Sites!$FZ:$FZ)-SUMIF(Sites!$A:$A,$A16,Sites!$GA:$GA)</f>
        <v>0</v>
      </c>
      <c r="X16" s="644"/>
      <c r="Y16" s="644">
        <f t="shared" si="5"/>
        <v>-70391.999999999767</v>
      </c>
      <c r="Z16" s="644">
        <f>SUMIF(Sites!$A:$A,$A16,Sites!$GD:$GD)</f>
        <v>-70391.999999999767</v>
      </c>
      <c r="AA16" s="699" t="b">
        <f t="shared" si="2"/>
        <v>1</v>
      </c>
      <c r="AB16" s="641"/>
      <c r="AC16" s="644">
        <f t="shared" si="6"/>
        <v>9840000</v>
      </c>
    </row>
    <row r="17" spans="1:29" ht="15">
      <c r="A17" s="709" t="str">
        <f>Sites!A14</f>
        <v>Golf Links Road</v>
      </c>
      <c r="C17" s="646">
        <f>SUMIF(Sites!$A:$A,$A17,Sites!$I:$I)</f>
        <v>32038</v>
      </c>
      <c r="D17" s="642"/>
      <c r="E17" s="646">
        <f>SUMIF(Sites!$A:$A,$A17,Sites!$FR:$FR)</f>
        <v>6</v>
      </c>
      <c r="F17" s="643"/>
      <c r="G17" s="646">
        <f>SUMIF(Sites!$A:$A,$A17,Sites!$FS:$FS)</f>
        <v>34</v>
      </c>
      <c r="H17" s="643"/>
      <c r="I17" s="643">
        <v>0</v>
      </c>
      <c r="J17" s="643"/>
      <c r="K17" s="644">
        <f>SUMIF(Sites!$A:$A,$A17,Sites!$AG:$AG)</f>
        <v>1281520</v>
      </c>
      <c r="L17" s="707"/>
      <c r="M17" s="644">
        <f t="shared" si="3"/>
        <v>-1347398.4</v>
      </c>
      <c r="N17" s="768"/>
      <c r="O17" s="644">
        <f t="shared" si="4"/>
        <v>-65878.399999999907</v>
      </c>
      <c r="P17" s="657"/>
      <c r="Q17" s="644">
        <f>SUMIF(Sites!$A:$A,$A17,Sites!$FU:$FU)</f>
        <v>0</v>
      </c>
      <c r="R17" s="707"/>
      <c r="S17" s="644">
        <f t="shared" si="0"/>
        <v>0</v>
      </c>
      <c r="T17" s="657"/>
      <c r="U17" s="644">
        <f t="shared" si="1"/>
        <v>-65878.399999999907</v>
      </c>
      <c r="V17" s="657"/>
      <c r="W17" s="644">
        <f>SUMIF(Sites!$A:$A,$A17,Sites!$FZ:$FZ)-SUMIF(Sites!$A:$A,$A17,Sites!$GA:$GA)</f>
        <v>0</v>
      </c>
      <c r="X17" s="644"/>
      <c r="Y17" s="644">
        <f t="shared" si="5"/>
        <v>-65878.399999999907</v>
      </c>
      <c r="Z17" s="644">
        <f>SUMIF(Sites!$A:$A,$A17,Sites!$GD:$GD)</f>
        <v>-65878.399999999907</v>
      </c>
      <c r="AA17" s="699" t="b">
        <f t="shared" si="2"/>
        <v>1</v>
      </c>
      <c r="AB17" s="641"/>
      <c r="AC17" s="644">
        <f t="shared" si="6"/>
        <v>13120000</v>
      </c>
    </row>
    <row r="18" spans="1:29">
      <c r="A18" s="709" t="str">
        <f>Sites!A17</f>
        <v>10451 MacArthur</v>
      </c>
      <c r="B18" s="642"/>
      <c r="C18" s="646">
        <f>SUMIF(Sites!$A:$A,$A18,Sites!$I:$I)</f>
        <v>23000</v>
      </c>
      <c r="D18" s="643"/>
      <c r="E18" s="646">
        <f>SUMIF(Sites!$A:$A,$A18,Sites!$FR:$FR)</f>
        <v>8</v>
      </c>
      <c r="F18" s="643"/>
      <c r="G18" s="646">
        <f>SUMIF(Sites!$A:$A,$A18,Sites!$FS:$FS)</f>
        <v>44</v>
      </c>
      <c r="H18" s="643"/>
      <c r="I18" s="643">
        <v>0</v>
      </c>
      <c r="J18" s="643"/>
      <c r="K18" s="644">
        <f>SUMIF(Sites!$A:$A,$A18,Sites!$AG:$AG)</f>
        <v>1035000</v>
      </c>
      <c r="L18" s="707"/>
      <c r="M18" s="644">
        <f t="shared" si="3"/>
        <v>-1796531.1999999997</v>
      </c>
      <c r="N18" s="707"/>
      <c r="O18" s="644">
        <f t="shared" si="4"/>
        <v>-761531.19999999972</v>
      </c>
      <c r="P18" s="657"/>
      <c r="Q18" s="644">
        <f>SUMIF(Sites!$A:$A,$A18,Sites!$FU:$FU)</f>
        <v>0</v>
      </c>
      <c r="R18" s="707"/>
      <c r="S18" s="644">
        <f t="shared" si="0"/>
        <v>0</v>
      </c>
      <c r="T18" s="657"/>
      <c r="U18" s="644">
        <f t="shared" si="1"/>
        <v>-761531.19999999972</v>
      </c>
      <c r="V18" s="657"/>
      <c r="W18" s="644">
        <f>SUMIF(Sites!$A:$A,$A18,Sites!$FZ:$FZ)-SUMIF(Sites!$A:$A,$A18,Sites!$GA:$GA)</f>
        <v>0</v>
      </c>
      <c r="X18" s="644"/>
      <c r="Y18" s="644">
        <f t="shared" si="5"/>
        <v>-761531.19999999972</v>
      </c>
      <c r="Z18" s="644">
        <f>SUMIF(Sites!$A:$A,$A18,Sites!$GD:$GD)</f>
        <v>-761531.19999999972</v>
      </c>
      <c r="AA18" s="699" t="b">
        <f t="shared" ref="AA18:AA23" si="7">Z18=U18</f>
        <v>1</v>
      </c>
      <c r="AB18" s="641"/>
      <c r="AC18" s="644">
        <f t="shared" si="6"/>
        <v>17056000</v>
      </c>
    </row>
    <row r="19" spans="1:29">
      <c r="A19" s="709" t="str">
        <f>Sites!A18</f>
        <v>Barcelona Site (Oak Knoll)</v>
      </c>
      <c r="B19" s="642"/>
      <c r="C19" s="646">
        <f>SUMIF(Sites!$A:$A,$A19,Sites!$I:$I)</f>
        <v>205337</v>
      </c>
      <c r="D19" s="643"/>
      <c r="E19" s="646">
        <f>SUMIF(Sites!$A:$A,$A19,Sites!$FR:$FR)</f>
        <v>3</v>
      </c>
      <c r="F19" s="643"/>
      <c r="G19" s="646">
        <f>SUMIF(Sites!$A:$A,$A19,Sites!$FS:$FS)</f>
        <v>19</v>
      </c>
      <c r="H19" s="643"/>
      <c r="I19" s="643">
        <v>0</v>
      </c>
      <c r="J19" s="643"/>
      <c r="K19" s="644">
        <f>SUMIF(Sites!$A:$A,$A19,Sites!$AG:$AG)</f>
        <v>2550000</v>
      </c>
      <c r="L19" s="707"/>
      <c r="M19" s="644">
        <f t="shared" si="3"/>
        <v>-673699.2</v>
      </c>
      <c r="N19" s="707"/>
      <c r="O19" s="644">
        <f>(K19+M19)*0.0725</f>
        <v>136031.80799999999</v>
      </c>
      <c r="P19" s="657"/>
      <c r="Q19" s="644">
        <f>SUMIF(Sites!$A:$A,$A19,Sites!$FU:$FU)</f>
        <v>0</v>
      </c>
      <c r="R19" s="707"/>
      <c r="S19" s="644">
        <f t="shared" si="0"/>
        <v>0</v>
      </c>
      <c r="T19" s="657"/>
      <c r="U19" s="644">
        <f t="shared" si="1"/>
        <v>136031.80799999999</v>
      </c>
      <c r="V19" s="657"/>
      <c r="W19" s="644">
        <f>O19*3</f>
        <v>408095.424</v>
      </c>
      <c r="X19" s="644"/>
      <c r="Y19" s="644">
        <f t="shared" si="5"/>
        <v>544127.23199999996</v>
      </c>
      <c r="Z19" s="644">
        <f>SUMIF(Sites!$A:$A,$A19,Sites!$GD:$GD)</f>
        <v>136031.80799999999</v>
      </c>
      <c r="AA19" s="699" t="b">
        <f t="shared" si="7"/>
        <v>1</v>
      </c>
      <c r="AB19" s="641"/>
      <c r="AC19" s="644">
        <f t="shared" si="6"/>
        <v>7216000</v>
      </c>
    </row>
    <row r="20" spans="1:29">
      <c r="A20" s="709" t="str">
        <f>Sites!A20</f>
        <v>1800 San Pablo</v>
      </c>
      <c r="C20" s="646">
        <f>SUMIF(Sites!$A:$A,$A20,Sites!$I:$I)</f>
        <v>44347</v>
      </c>
      <c r="D20" s="642"/>
      <c r="E20" s="646">
        <f>SUMIF(Sites!$A:$A,$A20,Sites!$FR:$FR)</f>
        <v>15</v>
      </c>
      <c r="F20" s="643"/>
      <c r="G20" s="646">
        <f>SUMIF(Sites!$A:$A,$A20,Sites!$FS:$FS)</f>
        <v>84</v>
      </c>
      <c r="H20" s="643"/>
      <c r="I20" s="643">
        <v>0</v>
      </c>
      <c r="J20" s="643"/>
      <c r="K20" s="644">
        <f>SUMIF(Sites!$A:$A,$A20,Sites!$AG:$AG)</f>
        <v>12195425</v>
      </c>
      <c r="L20" s="707"/>
      <c r="M20" s="644">
        <f t="shared" si="3"/>
        <v>-3368495.9999999995</v>
      </c>
      <c r="N20" s="657"/>
      <c r="O20" s="644">
        <f t="shared" si="4"/>
        <v>0</v>
      </c>
      <c r="P20" s="657"/>
      <c r="Q20" s="644">
        <f>SUMIF(Sites!$A:$A,$A20,Sites!$FU:$FU)</f>
        <v>0</v>
      </c>
      <c r="R20" s="657"/>
      <c r="S20" s="644">
        <f>IF(I20&gt;25000,(I20-25000),0)*6</f>
        <v>0</v>
      </c>
      <c r="T20" s="657"/>
      <c r="U20" s="644">
        <f>SUM(O20:S20)</f>
        <v>0</v>
      </c>
      <c r="V20" s="657"/>
      <c r="W20" s="644">
        <f>SUMIF(Sites!$A:$A,$A20,Sites!$FZ:$FZ)-SUMIF(Sites!$A:$A,$A20,Sites!$GA:$GA)</f>
        <v>8826929</v>
      </c>
      <c r="X20" s="644"/>
      <c r="Y20" s="644">
        <f t="shared" si="5"/>
        <v>8826929</v>
      </c>
      <c r="Z20" s="644">
        <f>SUMIF(Sites!$A:$A,$A20,Sites!$GD:$GD)</f>
        <v>0</v>
      </c>
      <c r="AA20" s="699" t="b">
        <f>Z20=U20</f>
        <v>1</v>
      </c>
      <c r="AB20" s="698"/>
      <c r="AC20" s="644">
        <f t="shared" si="6"/>
        <v>32472000</v>
      </c>
    </row>
    <row r="21" spans="1:29">
      <c r="A21" s="709" t="str">
        <f>Sites!A22</f>
        <v>Clay St Garage</v>
      </c>
      <c r="C21" s="646">
        <f>SUMIF(Sites!$A:$A,$A21,Sites!$I:$I)</f>
        <v>29000</v>
      </c>
      <c r="D21" s="642"/>
      <c r="E21" s="646">
        <f>SUMIF(Sites!$A:$A,$A21,Sites!$FR:$FR)</f>
        <v>10</v>
      </c>
      <c r="F21" s="643"/>
      <c r="G21" s="646">
        <f>SUMIF(Sites!$A:$A,$A21,Sites!$FS:$FS)</f>
        <v>55</v>
      </c>
      <c r="H21" s="643"/>
      <c r="I21" s="643">
        <v>0</v>
      </c>
      <c r="J21" s="643"/>
      <c r="K21" s="644">
        <f>SUMIF(Sites!$A:$A,$A21,Sites!$AG:$AG)</f>
        <v>6525000</v>
      </c>
      <c r="L21" s="707"/>
      <c r="M21" s="644">
        <f t="shared" si="3"/>
        <v>-2245663.9999999995</v>
      </c>
      <c r="N21" s="707"/>
      <c r="O21" s="644">
        <f t="shared" si="4"/>
        <v>0</v>
      </c>
      <c r="P21" s="657"/>
      <c r="Q21" s="644">
        <f>SUMIF(Sites!$A:$A,$A21,Sites!$FU:$FU)</f>
        <v>0</v>
      </c>
      <c r="R21" s="707"/>
      <c r="S21" s="644">
        <f t="shared" si="0"/>
        <v>0</v>
      </c>
      <c r="T21" s="657"/>
      <c r="U21" s="644">
        <f t="shared" si="1"/>
        <v>0</v>
      </c>
      <c r="V21" s="657"/>
      <c r="W21" s="644">
        <f>SUMIF(Sites!$A:$A,$A21,Sites!$FZ:$FZ)-SUMIF(Sites!$A:$A,$A21,Sites!$GA:$GA)</f>
        <v>4279336</v>
      </c>
      <c r="X21" s="644"/>
      <c r="Y21" s="644">
        <f t="shared" si="5"/>
        <v>4279336</v>
      </c>
      <c r="Z21" s="644">
        <f>SUMIF(Sites!$A:$A,$A21,Sites!$GD:$GD)</f>
        <v>0</v>
      </c>
      <c r="AA21" s="699" t="b">
        <f>Z21=U21</f>
        <v>1</v>
      </c>
      <c r="AB21" s="641"/>
      <c r="AC21" s="644">
        <f t="shared" si="6"/>
        <v>21320000</v>
      </c>
    </row>
    <row r="22" spans="1:29">
      <c r="A22" s="709" t="str">
        <f>Sites!A23</f>
        <v>1911 Telegraph</v>
      </c>
      <c r="C22" s="646">
        <f>SUMIF(Sites!$A:$A,$A22,Sites!$I:$I)</f>
        <v>45121</v>
      </c>
      <c r="D22" s="642"/>
      <c r="E22" s="646">
        <f>SUMIF(Sites!$A:$A,$A22,Sites!$FR:$FR)</f>
        <v>15</v>
      </c>
      <c r="F22" s="643"/>
      <c r="G22" s="646">
        <f>SUMIF(Sites!$A:$A,$A22,Sites!$FS:$FS)</f>
        <v>86</v>
      </c>
      <c r="H22" s="643"/>
      <c r="I22" s="643">
        <v>0</v>
      </c>
      <c r="J22" s="643"/>
      <c r="K22" s="644">
        <f>SUMIF(Sites!$A:$A,$A22,Sites!$AG:$AG)</f>
        <v>14664325</v>
      </c>
      <c r="L22" s="707"/>
      <c r="M22" s="644">
        <f t="shared" si="3"/>
        <v>-3368495.9999999995</v>
      </c>
      <c r="N22" s="707"/>
      <c r="O22" s="644">
        <f t="shared" si="4"/>
        <v>0</v>
      </c>
      <c r="P22" s="657"/>
      <c r="Q22" s="644">
        <f>SUMIF(Sites!$A:$A,$A22,Sites!$FU:$FU)</f>
        <v>0</v>
      </c>
      <c r="R22" s="707"/>
      <c r="S22" s="644">
        <f t="shared" si="0"/>
        <v>0</v>
      </c>
      <c r="T22" s="657"/>
      <c r="U22" s="644">
        <f t="shared" si="1"/>
        <v>0</v>
      </c>
      <c r="V22" s="657"/>
      <c r="W22" s="644">
        <f>SUMIF(Sites!$A:$A,$A22,Sites!$FZ:$FZ)-SUMIF(Sites!$A:$A,$A22,Sites!$GA:$GA)</f>
        <v>11295829</v>
      </c>
      <c r="X22" s="644"/>
      <c r="Y22" s="644">
        <f t="shared" si="5"/>
        <v>11295829</v>
      </c>
      <c r="Z22" s="644">
        <f>SUMIF(Sites!$A:$A,$A22,Sites!$GD:$GD)</f>
        <v>0</v>
      </c>
      <c r="AA22" s="699" t="b">
        <f t="shared" si="7"/>
        <v>1</v>
      </c>
      <c r="AB22" s="698"/>
      <c r="AC22" s="644">
        <f t="shared" si="6"/>
        <v>33128000</v>
      </c>
    </row>
    <row r="23" spans="1:29" ht="15">
      <c r="A23" s="709" t="str">
        <f>Sites!A24</f>
        <v>Fire Alarm Bldg</v>
      </c>
      <c r="C23" s="646">
        <f>SUMIF(Sites!$A:$A,$A23,Sites!$I:$I)</f>
        <v>31031</v>
      </c>
      <c r="D23" s="642"/>
      <c r="E23" s="646">
        <f>SUMIF(Sites!$A:$A,$A23,Sites!$FR:$FR)</f>
        <v>10</v>
      </c>
      <c r="F23" s="643"/>
      <c r="G23" s="646">
        <f>SUMIF(Sites!$A:$A,$A23,Sites!$FS:$FS)</f>
        <v>59</v>
      </c>
      <c r="H23" s="643"/>
      <c r="I23" s="643">
        <v>0</v>
      </c>
      <c r="J23" s="643"/>
      <c r="K23" s="644">
        <f>SUMIF(Sites!$A:$A,$A23,Sites!$AG:$AG)</f>
        <v>6981975</v>
      </c>
      <c r="L23" s="707"/>
      <c r="M23" s="644">
        <f t="shared" si="3"/>
        <v>-2245663.9999999995</v>
      </c>
      <c r="N23" s="663"/>
      <c r="O23" s="644">
        <f t="shared" si="4"/>
        <v>0</v>
      </c>
      <c r="P23" s="657"/>
      <c r="Q23" s="644">
        <f>SUMIF(Sites!$A:$A,$A23,Sites!$FU:$FU)</f>
        <v>0</v>
      </c>
      <c r="R23" s="707"/>
      <c r="S23" s="644">
        <f t="shared" si="0"/>
        <v>0</v>
      </c>
      <c r="T23" s="657"/>
      <c r="U23" s="644">
        <f t="shared" si="1"/>
        <v>0</v>
      </c>
      <c r="V23" s="657"/>
      <c r="W23" s="644">
        <f>SUMIF(Sites!$A:$A,$A23,Sites!$FZ:$FZ)-SUMIF(Sites!$A:$A,$A23,Sites!$GA:$GA)</f>
        <v>4736311</v>
      </c>
      <c r="X23" s="663"/>
      <c r="Y23" s="644">
        <f t="shared" si="5"/>
        <v>4736311</v>
      </c>
      <c r="Z23" s="644">
        <f>SUMIF(Sites!$A:$A,$A23,Sites!$GD:$GD)</f>
        <v>0</v>
      </c>
      <c r="AA23" s="699" t="b">
        <f t="shared" si="7"/>
        <v>1</v>
      </c>
      <c r="AB23" s="641"/>
      <c r="AC23" s="644">
        <f t="shared" si="6"/>
        <v>22632000</v>
      </c>
    </row>
    <row r="24" spans="1:29" ht="15">
      <c r="A24" s="658" t="s">
        <v>625</v>
      </c>
      <c r="B24" s="659"/>
      <c r="C24" s="660">
        <f>SUM(C9:C23)</f>
        <v>704800</v>
      </c>
      <c r="D24" s="700"/>
      <c r="E24" s="650">
        <f>SUM(E9:E23)</f>
        <v>156</v>
      </c>
      <c r="F24" s="651"/>
      <c r="G24" s="650">
        <f>SUM(G9:G23)</f>
        <v>881</v>
      </c>
      <c r="H24" s="651"/>
      <c r="I24" s="650">
        <f>SUM(I9:I23)</f>
        <v>0</v>
      </c>
      <c r="J24" s="651"/>
      <c r="K24" s="652">
        <f>SUM(K9:K23)</f>
        <v>78683915</v>
      </c>
      <c r="L24" s="768"/>
      <c r="M24" s="652">
        <f>SUM(M9:M23)</f>
        <v>-35032358.399999991</v>
      </c>
      <c r="N24" s="707"/>
      <c r="O24" s="652">
        <f>SUM(O9:O23)</f>
        <v>464044.20800000289</v>
      </c>
      <c r="P24" s="707"/>
      <c r="Q24" s="652">
        <f>SUM(Q9:Q23)</f>
        <v>0</v>
      </c>
      <c r="R24" s="663"/>
      <c r="S24" s="652">
        <f>SUM(S9:S23)</f>
        <v>0</v>
      </c>
      <c r="T24" s="707"/>
      <c r="U24" s="652">
        <f>SUM(U9:U23)</f>
        <v>464044.20800000289</v>
      </c>
      <c r="V24" s="707"/>
      <c r="W24" s="652">
        <f>SUM(W9:W23)</f>
        <v>41855338.824000001</v>
      </c>
      <c r="X24" s="657"/>
      <c r="Y24" s="652">
        <f>SUM(Y9:Y23)</f>
        <v>42319383.032000005</v>
      </c>
      <c r="AB24" s="658"/>
      <c r="AC24" s="652">
        <f>SUM(AC9:AC23)</f>
        <v>340136000</v>
      </c>
    </row>
    <row r="25" spans="1:29" ht="6" customHeight="1">
      <c r="A25" s="658"/>
      <c r="B25" s="659"/>
      <c r="C25" s="664"/>
      <c r="D25" s="700"/>
      <c r="E25" s="651"/>
      <c r="F25" s="651"/>
      <c r="G25" s="651"/>
      <c r="H25" s="665"/>
      <c r="I25" s="651"/>
      <c r="J25" s="665"/>
      <c r="K25" s="768"/>
      <c r="L25" s="768"/>
      <c r="M25" s="768"/>
      <c r="N25" s="707"/>
      <c r="O25" s="768"/>
      <c r="P25" s="707"/>
      <c r="Q25" s="768"/>
      <c r="R25" s="768"/>
      <c r="S25" s="768"/>
      <c r="T25" s="707"/>
      <c r="U25" s="710"/>
      <c r="V25" s="707"/>
      <c r="W25" s="710"/>
      <c r="X25" s="657"/>
      <c r="Y25" s="657"/>
      <c r="AB25" s="658"/>
    </row>
    <row r="26" spans="1:29" ht="15">
      <c r="A26" s="695" t="s">
        <v>476</v>
      </c>
      <c r="E26" s="639"/>
      <c r="F26" s="639"/>
      <c r="G26" s="639"/>
      <c r="H26" s="639"/>
      <c r="I26" s="639"/>
      <c r="J26" s="639"/>
      <c r="K26" s="769"/>
      <c r="L26" s="769"/>
      <c r="M26" s="769"/>
      <c r="N26" s="769"/>
      <c r="O26" s="769"/>
      <c r="P26" s="769"/>
      <c r="Q26" s="769"/>
      <c r="R26" s="769"/>
      <c r="S26" s="769"/>
      <c r="T26" s="769"/>
      <c r="U26" s="657"/>
      <c r="V26" s="769"/>
      <c r="W26" s="657"/>
      <c r="X26" s="644"/>
      <c r="Y26" s="644"/>
      <c r="AB26" s="637"/>
    </row>
    <row r="27" spans="1:29" ht="15">
      <c r="A27" s="709" t="str">
        <f>Sites!A9</f>
        <v>Miller Library Site</v>
      </c>
      <c r="C27" s="646">
        <f>SUMIF(Sites!$A:$A,$A27,Sites!$I:$I)</f>
        <v>11969</v>
      </c>
      <c r="D27" s="642"/>
      <c r="E27" s="646">
        <f>SUMIF(Sites!$A:$A,$A27,Sites!$FR:$FR)</f>
        <v>0</v>
      </c>
      <c r="F27" s="643"/>
      <c r="G27" s="646">
        <f>SUMIF(Sites!$A:$A,$A27,Sites!$FS:$FS)</f>
        <v>7</v>
      </c>
      <c r="H27" s="643"/>
      <c r="I27" s="643">
        <v>0</v>
      </c>
      <c r="J27" s="643"/>
      <c r="K27" s="644">
        <f>SUMIF(Sites!$A:$A,$A27,Sites!$AG:$AG)</f>
        <v>1077210</v>
      </c>
      <c r="L27" s="707"/>
      <c r="M27" s="644">
        <f t="shared" ref="M27:M29" si="8">-C$44*E27</f>
        <v>0</v>
      </c>
      <c r="N27" s="657"/>
      <c r="O27" s="644">
        <f>IF((K27+M27)&gt;0,(K27+M27)*$C$45,(K27+M27))</f>
        <v>0</v>
      </c>
      <c r="P27" s="657"/>
      <c r="Q27" s="644">
        <f>SUMIF(Sites!$A:$A,$A27,Sites!$FU:$FU)</f>
        <v>84000</v>
      </c>
      <c r="R27" s="663"/>
      <c r="S27" s="644">
        <f t="shared" ref="S27:S29" si="9">IF(I27&gt;25000,(I27-25000),0)*6</f>
        <v>0</v>
      </c>
      <c r="T27" s="657"/>
      <c r="U27" s="644">
        <f t="shared" ref="U27:U29" si="10">SUM(O27:S27)</f>
        <v>84000</v>
      </c>
      <c r="V27" s="657"/>
      <c r="W27" s="644">
        <f>SUMIF(Sites!$A:$A,$A27,Sites!$FZ:$FZ)-SUMIF(Sites!$A:$A,$A27,Sites!$GA:$GA)</f>
        <v>1077210</v>
      </c>
      <c r="X27" s="663"/>
      <c r="Y27" s="644">
        <f t="shared" ref="Y27:Y29" si="11">U27+W27</f>
        <v>1161210</v>
      </c>
      <c r="Z27" s="644">
        <f>SUMIF(Sites!$A:$A,$A27,Sites!$GD:$GD)</f>
        <v>84000</v>
      </c>
      <c r="AA27" s="699" t="b">
        <f>Z27=U27</f>
        <v>1</v>
      </c>
      <c r="AB27" s="641"/>
      <c r="AC27" s="644">
        <f t="shared" ref="AC27:AC29" si="12">(E27+G27)*$C$46</f>
        <v>2296000</v>
      </c>
    </row>
    <row r="28" spans="1:29" ht="15">
      <c r="A28" s="709" t="str">
        <f>Sites!A15</f>
        <v>8280 &amp; 8296 MacArthur</v>
      </c>
      <c r="B28" s="642"/>
      <c r="C28" s="646">
        <f>SUMIF(Sites!$A:$A,$A28,Sites!$I:$I)</f>
        <v>12720</v>
      </c>
      <c r="D28" s="643"/>
      <c r="E28" s="646">
        <f>SUMIF(Sites!$A:$A,$A28,Sites!$FR:$FR)</f>
        <v>0</v>
      </c>
      <c r="F28" s="643"/>
      <c r="G28" s="646">
        <f>SUMIF(Sites!$A:$A,$A28,Sites!$FS:$FS)</f>
        <v>8</v>
      </c>
      <c r="H28" s="643"/>
      <c r="I28" s="643">
        <v>0</v>
      </c>
      <c r="J28" s="643"/>
      <c r="K28" s="644">
        <f>SUMIF(Sites!$A:$A,$A28,Sites!$AG:$AG)</f>
        <v>826800</v>
      </c>
      <c r="L28" s="707"/>
      <c r="M28" s="644">
        <f t="shared" si="8"/>
        <v>0</v>
      </c>
      <c r="N28" s="707"/>
      <c r="O28" s="644">
        <f>IF((K28+M28)&gt;0,(K28+M28)*$C$45,(K28+M28))</f>
        <v>0</v>
      </c>
      <c r="P28" s="657"/>
      <c r="Q28" s="644">
        <f>SUMIF(Sites!$A:$A,$A28,Sites!$FU:$FU)</f>
        <v>96000</v>
      </c>
      <c r="R28" s="707"/>
      <c r="S28" s="644">
        <f t="shared" si="9"/>
        <v>0</v>
      </c>
      <c r="T28" s="657"/>
      <c r="U28" s="644">
        <f t="shared" si="10"/>
        <v>96000</v>
      </c>
      <c r="V28" s="657"/>
      <c r="W28" s="644">
        <f>SUMIF(Sites!$A:$A,$A28,Sites!$FZ:$FZ)-SUMIF(Sites!$A:$A,$A28,Sites!$GA:$GA)</f>
        <v>826800</v>
      </c>
      <c r="X28" s="710"/>
      <c r="Y28" s="644">
        <f t="shared" si="11"/>
        <v>922800</v>
      </c>
      <c r="Z28" s="644">
        <f>SUMIF(Sites!$A:$A,$A28,Sites!$GD:$GD)</f>
        <v>96000</v>
      </c>
      <c r="AA28" s="699" t="b">
        <f>Z28=U28</f>
        <v>1</v>
      </c>
      <c r="AB28" s="641"/>
      <c r="AC28" s="644">
        <f t="shared" si="12"/>
        <v>2624000</v>
      </c>
    </row>
    <row r="29" spans="1:29">
      <c r="A29" s="709" t="str">
        <f>Sites!A16</f>
        <v>98th &amp; Stearns</v>
      </c>
      <c r="C29" s="646">
        <f>SUMIF(Sites!$A:$A,$A29,Sites!$I:$I)</f>
        <v>20614</v>
      </c>
      <c r="D29" s="642"/>
      <c r="E29" s="646">
        <f>SUMIF(Sites!$A:$A,$A29,Sites!$FR:$FR)</f>
        <v>0</v>
      </c>
      <c r="F29" s="643"/>
      <c r="G29" s="646">
        <f>SUMIF(Sites!$A:$A,$A29,Sites!$FS:$FS)</f>
        <v>4</v>
      </c>
      <c r="H29" s="643"/>
      <c r="I29" s="643">
        <v>0</v>
      </c>
      <c r="J29" s="643"/>
      <c r="K29" s="644">
        <f>SUMIF(Sites!$A:$A,$A29,Sites!$AG:$AG)</f>
        <v>1855260</v>
      </c>
      <c r="L29" s="707"/>
      <c r="M29" s="644">
        <f t="shared" si="8"/>
        <v>0</v>
      </c>
      <c r="N29" s="707"/>
      <c r="O29" s="644">
        <f>IF((K29+M29)&gt;0,(K29+M29)*$C$45,(K29+M29))</f>
        <v>0</v>
      </c>
      <c r="P29" s="657"/>
      <c r="Q29" s="644">
        <f>SUMIF(Sites!$A:$A,$A29,Sites!$FU:$FU)</f>
        <v>48000</v>
      </c>
      <c r="R29" s="707"/>
      <c r="S29" s="644">
        <f t="shared" si="9"/>
        <v>0</v>
      </c>
      <c r="T29" s="657"/>
      <c r="U29" s="644">
        <f t="shared" si="10"/>
        <v>48000</v>
      </c>
      <c r="V29" s="657"/>
      <c r="W29" s="644">
        <f>SUMIF(Sites!$A:$A,$A29,Sites!$FZ:$FZ)-SUMIF(Sites!$A:$A,$A29,Sites!$GA:$GA)</f>
        <v>1855260</v>
      </c>
      <c r="X29" s="657"/>
      <c r="Y29" s="644">
        <f t="shared" si="11"/>
        <v>1903260</v>
      </c>
      <c r="Z29" s="644">
        <f>SUMIF(Sites!$A:$A,$A29,Sites!$GD:$GD)</f>
        <v>48000</v>
      </c>
      <c r="AA29" s="699" t="b">
        <f>Z29=U29</f>
        <v>1</v>
      </c>
      <c r="AB29" s="641"/>
      <c r="AC29" s="644">
        <f t="shared" si="12"/>
        <v>1312000</v>
      </c>
    </row>
    <row r="30" spans="1:29" ht="15">
      <c r="A30" s="658" t="s">
        <v>555</v>
      </c>
      <c r="B30" s="659"/>
      <c r="C30" s="660">
        <f>SUM(C27:C29)</f>
        <v>45303</v>
      </c>
      <c r="D30" s="700"/>
      <c r="E30" s="650">
        <f>SUM(E27:E29)</f>
        <v>0</v>
      </c>
      <c r="F30" s="651"/>
      <c r="G30" s="650">
        <f>SUM(G27:G29)</f>
        <v>19</v>
      </c>
      <c r="H30" s="651"/>
      <c r="I30" s="650">
        <f>SUM(I27:I29)</f>
        <v>0</v>
      </c>
      <c r="J30" s="651"/>
      <c r="K30" s="652">
        <f>SUM(K27:K29)</f>
        <v>3759270</v>
      </c>
      <c r="L30" s="768"/>
      <c r="M30" s="652">
        <f>SUM(M27:M29)</f>
        <v>0</v>
      </c>
      <c r="N30" s="707"/>
      <c r="O30" s="652">
        <f>SUM(O27:O29)</f>
        <v>0</v>
      </c>
      <c r="P30" s="707"/>
      <c r="Q30" s="652">
        <f>SUM(Q27:Q29)</f>
        <v>228000</v>
      </c>
      <c r="R30" s="663"/>
      <c r="S30" s="652">
        <f>SUM(S27:S29)</f>
        <v>0</v>
      </c>
      <c r="T30" s="707"/>
      <c r="U30" s="652">
        <f>SUM(U27:U29)</f>
        <v>228000</v>
      </c>
      <c r="V30" s="707"/>
      <c r="W30" s="652">
        <f>SUM(W27:W29)</f>
        <v>3759270</v>
      </c>
      <c r="X30" s="644"/>
      <c r="Y30" s="652">
        <f>SUM(Y27:Y29)</f>
        <v>3987270</v>
      </c>
      <c r="AB30" s="658"/>
      <c r="AC30" s="652">
        <f>SUM(AC27:AC29)</f>
        <v>6232000</v>
      </c>
    </row>
    <row r="31" spans="1:29" ht="6" customHeight="1">
      <c r="A31" s="658"/>
      <c r="B31" s="659"/>
      <c r="C31" s="664"/>
      <c r="D31" s="700"/>
      <c r="E31" s="651"/>
      <c r="F31" s="651"/>
      <c r="G31" s="651"/>
      <c r="H31" s="665"/>
      <c r="I31" s="651"/>
      <c r="J31" s="665"/>
      <c r="K31" s="768"/>
      <c r="L31" s="768"/>
      <c r="M31" s="768"/>
      <c r="N31" s="707"/>
      <c r="O31" s="768"/>
      <c r="P31" s="707"/>
      <c r="Q31" s="768"/>
      <c r="R31" s="768"/>
      <c r="S31" s="768"/>
      <c r="T31" s="707"/>
      <c r="U31" s="710"/>
      <c r="V31" s="707"/>
      <c r="W31" s="710"/>
      <c r="X31" s="644"/>
      <c r="Y31" s="644">
        <f t="shared" ref="Y31" si="13">U31+W31</f>
        <v>0</v>
      </c>
      <c r="AB31" s="658"/>
    </row>
    <row r="32" spans="1:29" ht="15">
      <c r="A32" s="637" t="s">
        <v>409</v>
      </c>
      <c r="C32" s="646"/>
      <c r="E32" s="646"/>
      <c r="F32" s="646"/>
      <c r="G32" s="646"/>
      <c r="H32" s="638"/>
      <c r="I32" s="646"/>
      <c r="J32" s="638"/>
      <c r="K32" s="657"/>
      <c r="L32" s="657"/>
      <c r="M32" s="657"/>
      <c r="N32" s="707"/>
      <c r="O32" s="657"/>
      <c r="P32" s="707"/>
      <c r="Q32" s="657"/>
      <c r="R32" s="657"/>
      <c r="S32" s="657"/>
      <c r="T32" s="707"/>
      <c r="U32" s="657"/>
      <c r="V32" s="707"/>
      <c r="W32" s="657"/>
      <c r="X32" s="644"/>
      <c r="Y32" s="644"/>
      <c r="AB32" s="637"/>
      <c r="AC32" s="634" t="s">
        <v>568</v>
      </c>
    </row>
    <row r="33" spans="1:29">
      <c r="A33" s="709" t="str">
        <f>Sites!A25</f>
        <v>Old Fire Station #24</v>
      </c>
      <c r="C33" s="646">
        <f>SUMIF(Sites!$A:$A,$A33,Sites!$I:$I)</f>
        <v>39535</v>
      </c>
      <c r="D33" s="642"/>
      <c r="E33" s="646">
        <f>SUMIF(Sites!$A:$A,$A33,Sites!$FR:$FR)</f>
        <v>0</v>
      </c>
      <c r="F33" s="643"/>
      <c r="G33" s="646">
        <f>SUMIF(Sites!$A:$A,$A33,Sites!$FS:$FS)</f>
        <v>0</v>
      </c>
      <c r="H33" s="643"/>
      <c r="I33" s="647">
        <f>SUMIF(Sites!$A:$A,$A33,Sites!$J:$J)+SUMIF(Sites!$A:$A,$A33,Sites!$M:$M)</f>
        <v>20000</v>
      </c>
      <c r="J33" s="643"/>
      <c r="K33" s="644">
        <f>SUMIF(Sites!$A:$A,$A33,Sites!$AG:$AG)</f>
        <v>1250000</v>
      </c>
      <c r="L33" s="707"/>
      <c r="M33" s="644">
        <f t="shared" ref="M33:M34" si="14">-C$44*E33</f>
        <v>0</v>
      </c>
      <c r="N33" s="707"/>
      <c r="O33" s="644">
        <f t="shared" ref="O33:O34" si="15">IF((K33+M33)&gt;0,(K33+M33)*$C$45,(K33+M33))</f>
        <v>0</v>
      </c>
      <c r="P33" s="657"/>
      <c r="Q33" s="644">
        <f>SUMIF(Sites!$A:$A,$A33,Sites!$FU:$FU)</f>
        <v>0</v>
      </c>
      <c r="R33" s="707"/>
      <c r="S33" s="644">
        <f>IF(I33&gt;25000,(I33-25000),0)*6</f>
        <v>0</v>
      </c>
      <c r="T33" s="657"/>
      <c r="U33" s="644">
        <f t="shared" ref="U33:U34" si="16">SUM(O33:S33)</f>
        <v>0</v>
      </c>
      <c r="V33" s="657"/>
      <c r="W33" s="644">
        <f>SUMIF(Sites!$A:$A,$A33,Sites!$FZ:$FZ)-SUMIF(Sites!$A:$A,$A33,Sites!$GA:$GA)</f>
        <v>1250000</v>
      </c>
      <c r="X33" s="644"/>
      <c r="Y33" s="644">
        <f t="shared" ref="Y33:Y34" si="17">U33+W33</f>
        <v>1250000</v>
      </c>
      <c r="Z33" s="644">
        <f>SUMIF(Sites!$A:$A,$A33,Sites!$GD:$GD)</f>
        <v>0</v>
      </c>
      <c r="AA33" s="699" t="b">
        <f>Z33=U33</f>
        <v>1</v>
      </c>
      <c r="AB33" s="641"/>
      <c r="AC33" s="644"/>
    </row>
    <row r="34" spans="1:29">
      <c r="A34" s="709" t="str">
        <f>Sites!A26</f>
        <v xml:space="preserve">66th &amp; San Leandro </v>
      </c>
      <c r="C34" s="646">
        <f>SUMIF(Sites!$A:$A,$A34,Sites!$I:$I)</f>
        <v>274428</v>
      </c>
      <c r="E34" s="646">
        <f>SUMIF(Sites!$A:$A,$A34,Sites!$FR:$FR)</f>
        <v>0</v>
      </c>
      <c r="F34" s="646"/>
      <c r="G34" s="646">
        <f>SUMIF(Sites!$A:$A,$A34,Sites!$FS:$FS)</f>
        <v>0</v>
      </c>
      <c r="H34" s="643"/>
      <c r="I34" s="647">
        <f>SUMIF(Sites!$A:$A,$A34,Sites!$J:$J)+SUMIF(Sites!$A:$A,$A34,Sites!$M:$M)</f>
        <v>274428</v>
      </c>
      <c r="J34" s="667"/>
      <c r="K34" s="644">
        <f>SUMIF(Sites!$A:$A,$A34,Sites!$AG:$AG)</f>
        <v>9604980</v>
      </c>
      <c r="L34" s="707"/>
      <c r="M34" s="644">
        <f t="shared" si="14"/>
        <v>0</v>
      </c>
      <c r="N34" s="707"/>
      <c r="O34" s="644">
        <f t="shared" si="15"/>
        <v>0</v>
      </c>
      <c r="P34" s="707"/>
      <c r="Q34" s="644">
        <f>SUMIF(Sites!$A:$A,$A34,Sites!$FU:$FU)</f>
        <v>0</v>
      </c>
      <c r="R34" s="707"/>
      <c r="S34" s="644">
        <f>IF(I34&gt;25000,(I34-25000),0)*6</f>
        <v>1496568</v>
      </c>
      <c r="T34" s="707"/>
      <c r="U34" s="644">
        <f t="shared" si="16"/>
        <v>1496568</v>
      </c>
      <c r="V34" s="707"/>
      <c r="W34" s="644">
        <f>SUMIF(Sites!$A:$A,$A34,Sites!$FZ:$FZ)-SUMIF(Sites!$A:$A,$A34,Sites!$GA:$GA)</f>
        <v>9604980</v>
      </c>
      <c r="X34" s="644"/>
      <c r="Y34" s="644">
        <f t="shared" si="17"/>
        <v>11101548</v>
      </c>
      <c r="Z34" s="644">
        <f>SUMIF(Sites!$A:$A,$A34,Sites!$GD:$GD)</f>
        <v>1496568</v>
      </c>
      <c r="AA34" s="699" t="b">
        <f>Z34=U34</f>
        <v>1</v>
      </c>
      <c r="AB34" s="641"/>
      <c r="AC34" s="645">
        <f>I34*180</f>
        <v>49397040</v>
      </c>
    </row>
    <row r="35" spans="1:29" ht="15">
      <c r="A35" s="637" t="s">
        <v>556</v>
      </c>
      <c r="B35" s="659"/>
      <c r="C35" s="660">
        <f>SUM(C33:C34)</f>
        <v>313963</v>
      </c>
      <c r="D35" s="659"/>
      <c r="E35" s="660">
        <f>SUM(E33:E34)</f>
        <v>0</v>
      </c>
      <c r="F35" s="664"/>
      <c r="G35" s="660">
        <f>SUM(G33:G34)</f>
        <v>0</v>
      </c>
      <c r="H35" s="651"/>
      <c r="I35" s="660">
        <f>SUM(I33:I34)</f>
        <v>294428</v>
      </c>
      <c r="J35" s="669"/>
      <c r="K35" s="652">
        <f>SUM(K33:K34)</f>
        <v>10854980</v>
      </c>
      <c r="L35" s="710"/>
      <c r="M35" s="652">
        <f>SUM(M33:M34)</f>
        <v>0</v>
      </c>
      <c r="N35" s="768"/>
      <c r="O35" s="652">
        <f>SUM(O33:O34)</f>
        <v>0</v>
      </c>
      <c r="P35" s="768"/>
      <c r="Q35" s="652">
        <f>SUM(Q33:Q34)</f>
        <v>0</v>
      </c>
      <c r="R35" s="707"/>
      <c r="S35" s="652">
        <f>SUM(S33:S34)</f>
        <v>1496568</v>
      </c>
      <c r="T35" s="768"/>
      <c r="U35" s="652">
        <f>SUM(U33:U34)</f>
        <v>1496568</v>
      </c>
      <c r="V35" s="768"/>
      <c r="W35" s="652">
        <f>SUM(W33:W34)</f>
        <v>10854980</v>
      </c>
      <c r="X35" s="663"/>
      <c r="Y35" s="652">
        <f>SUM(Y33:Y34)</f>
        <v>12351548</v>
      </c>
      <c r="AB35" s="637"/>
    </row>
    <row r="36" spans="1:29" ht="6" customHeight="1">
      <c r="B36" s="670"/>
      <c r="C36" s="646"/>
      <c r="E36" s="646"/>
      <c r="F36" s="646"/>
      <c r="G36" s="646"/>
      <c r="H36" s="638"/>
      <c r="I36" s="646"/>
      <c r="J36" s="638"/>
      <c r="K36" s="657"/>
      <c r="L36" s="657"/>
      <c r="M36" s="657"/>
      <c r="N36" s="657"/>
      <c r="O36" s="657"/>
      <c r="P36" s="657"/>
      <c r="Q36" s="657"/>
      <c r="R36" s="707"/>
      <c r="S36" s="657"/>
      <c r="T36" s="657"/>
      <c r="U36" s="657"/>
      <c r="V36" s="657"/>
      <c r="W36" s="657"/>
      <c r="X36" s="657"/>
      <c r="Y36" s="657"/>
    </row>
    <row r="37" spans="1:29" ht="15">
      <c r="A37" s="659" t="s">
        <v>483</v>
      </c>
      <c r="B37" s="671"/>
      <c r="C37" s="660">
        <f>C24+C30+C35</f>
        <v>1064066</v>
      </c>
      <c r="D37" s="659"/>
      <c r="E37" s="660">
        <f>E24+E30+E35</f>
        <v>156</v>
      </c>
      <c r="F37" s="661"/>
      <c r="G37" s="660">
        <f>G24+G30+G35</f>
        <v>900</v>
      </c>
      <c r="H37" s="672"/>
      <c r="I37" s="660">
        <f>I24+I30+I35</f>
        <v>294428</v>
      </c>
      <c r="J37" s="672"/>
      <c r="K37" s="652">
        <f>K24+K30+K35</f>
        <v>93298165</v>
      </c>
      <c r="L37" s="710"/>
      <c r="M37" s="652">
        <f>M24+M30+M35</f>
        <v>-35032358.399999991</v>
      </c>
      <c r="N37" s="657"/>
      <c r="O37" s="652">
        <f>O24+O30+O35</f>
        <v>464044.20800000289</v>
      </c>
      <c r="P37" s="768"/>
      <c r="Q37" s="652">
        <f>Q24+Q30+Q35</f>
        <v>228000</v>
      </c>
      <c r="R37" s="707"/>
      <c r="S37" s="652">
        <f>S24+S30+S35</f>
        <v>1496568</v>
      </c>
      <c r="T37" s="657"/>
      <c r="U37" s="652">
        <f>U24+U30+U35</f>
        <v>2188612.2080000029</v>
      </c>
      <c r="V37" s="768"/>
      <c r="W37" s="652">
        <f>W24+W30+W35</f>
        <v>56469588.824000001</v>
      </c>
      <c r="X37" s="663"/>
      <c r="Y37" s="652">
        <f>Y24+Y30+Y35</f>
        <v>58658201.032000005</v>
      </c>
      <c r="Z37" s="724">
        <f>Summary!G23</f>
        <v>2188612.2080000034</v>
      </c>
      <c r="AA37" s="699" t="b">
        <f>Z37=U37</f>
        <v>1</v>
      </c>
      <c r="AB37" s="659"/>
    </row>
    <row r="38" spans="1:29" ht="6" customHeight="1">
      <c r="B38" s="670"/>
      <c r="E38" s="638"/>
      <c r="F38" s="638"/>
      <c r="G38" s="638"/>
      <c r="H38" s="638"/>
      <c r="I38" s="638"/>
      <c r="J38" s="638"/>
      <c r="K38" s="638"/>
      <c r="L38" s="638"/>
      <c r="M38" s="638"/>
      <c r="N38" s="673"/>
      <c r="O38" s="638"/>
      <c r="P38" s="673"/>
      <c r="Q38" s="638"/>
      <c r="R38" s="645"/>
      <c r="S38" s="638"/>
      <c r="T38" s="673"/>
      <c r="V38" s="673"/>
      <c r="X38" s="663"/>
      <c r="Y38" s="663"/>
    </row>
    <row r="39" spans="1:29" ht="15">
      <c r="A39" s="659" t="s">
        <v>557</v>
      </c>
      <c r="B39" s="664"/>
      <c r="C39" s="664"/>
      <c r="D39" s="664"/>
      <c r="E39" s="661"/>
      <c r="F39" s="664"/>
      <c r="G39" s="672"/>
      <c r="H39" s="664"/>
      <c r="I39" s="672"/>
      <c r="J39" s="663"/>
      <c r="K39" s="673"/>
      <c r="L39" s="663"/>
      <c r="M39" s="673"/>
      <c r="N39" s="663"/>
      <c r="O39" s="673"/>
      <c r="P39" s="663"/>
      <c r="Q39" s="673"/>
      <c r="R39" s="673"/>
      <c r="S39" s="673"/>
      <c r="V39" s="663"/>
      <c r="W39" s="675">
        <f>E37/SUM(E37:G37)</f>
        <v>0.14772727272727273</v>
      </c>
      <c r="X39" s="675"/>
      <c r="Y39" s="675"/>
      <c r="Z39" s="627" t="b">
        <f>Y37=Summary!G30</f>
        <v>1</v>
      </c>
      <c r="AB39" s="671"/>
    </row>
    <row r="40" spans="1:29" ht="6" customHeight="1">
      <c r="B40" s="670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S40" s="638"/>
      <c r="T40" s="638"/>
      <c r="U40" s="674"/>
      <c r="V40" s="638"/>
      <c r="W40" s="674"/>
    </row>
    <row r="41" spans="1:29" ht="15">
      <c r="A41" s="676" t="s">
        <v>558</v>
      </c>
      <c r="B41" s="677"/>
      <c r="C41" s="678"/>
      <c r="D41" s="679"/>
      <c r="E41" s="678"/>
      <c r="F41" s="678"/>
      <c r="G41" s="678"/>
      <c r="H41" s="678"/>
      <c r="I41" s="678"/>
      <c r="J41" s="678"/>
      <c r="K41" s="678"/>
      <c r="L41" s="678"/>
      <c r="M41" s="678"/>
      <c r="N41" s="678"/>
      <c r="O41" s="678"/>
      <c r="P41" s="678"/>
      <c r="Q41" s="678"/>
      <c r="R41" s="678"/>
      <c r="S41" s="678"/>
      <c r="T41" s="678"/>
      <c r="U41" s="701"/>
      <c r="V41" s="678"/>
      <c r="W41" s="701"/>
      <c r="AB41" s="679"/>
    </row>
    <row r="42" spans="1:29" ht="6" customHeight="1"/>
    <row r="43" spans="1:29" ht="15" customHeight="1">
      <c r="A43" s="627" t="s">
        <v>559</v>
      </c>
      <c r="B43" s="670"/>
      <c r="C43" s="680">
        <v>22000</v>
      </c>
    </row>
    <row r="44" spans="1:29" ht="15">
      <c r="A44" s="627" t="s">
        <v>640</v>
      </c>
      <c r="B44" s="670"/>
      <c r="C44" s="680">
        <f>'Land Value Analysis_80%AMI'!C28</f>
        <v>224566.39999999997</v>
      </c>
      <c r="F44" s="638"/>
      <c r="G44" s="638"/>
      <c r="H44" s="638"/>
      <c r="I44" s="638"/>
      <c r="J44" s="638"/>
      <c r="K44" s="638"/>
      <c r="L44" s="638"/>
      <c r="M44" s="638"/>
      <c r="N44" s="638"/>
      <c r="O44" s="638"/>
      <c r="P44" s="638"/>
      <c r="Q44" s="638"/>
      <c r="R44" s="663"/>
      <c r="S44" s="638"/>
      <c r="T44" s="638"/>
      <c r="U44" s="674"/>
      <c r="V44" s="638"/>
      <c r="W44" s="674"/>
    </row>
    <row r="45" spans="1:29" ht="15">
      <c r="A45" s="627" t="s">
        <v>641</v>
      </c>
      <c r="B45" s="670"/>
      <c r="C45" s="703">
        <v>0</v>
      </c>
      <c r="E45" s="725" t="s">
        <v>675</v>
      </c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U45" s="674"/>
      <c r="V45" s="638"/>
      <c r="W45" s="674"/>
    </row>
    <row r="46" spans="1:29" ht="15">
      <c r="A46" s="627" t="s">
        <v>614</v>
      </c>
      <c r="B46" s="670"/>
      <c r="C46" s="680">
        <v>328000</v>
      </c>
      <c r="E46" s="638"/>
      <c r="F46" s="638"/>
      <c r="G46" s="638"/>
      <c r="H46" s="638"/>
      <c r="I46" s="638"/>
      <c r="J46" s="638"/>
      <c r="K46" s="638"/>
      <c r="L46" s="638"/>
      <c r="M46" s="638"/>
      <c r="N46" s="638"/>
      <c r="O46" s="638"/>
      <c r="P46" s="638"/>
      <c r="Q46" s="638"/>
      <c r="R46" s="638"/>
      <c r="S46" s="638"/>
      <c r="T46" s="638"/>
      <c r="U46" s="674"/>
      <c r="V46" s="638"/>
      <c r="W46" s="674"/>
    </row>
    <row r="49" spans="1:28" ht="15">
      <c r="B49" s="670"/>
      <c r="E49" s="638"/>
      <c r="F49" s="638"/>
      <c r="G49" s="638"/>
      <c r="H49" s="638"/>
      <c r="I49" s="638"/>
      <c r="J49" s="638"/>
      <c r="K49" s="638"/>
      <c r="L49" s="638"/>
      <c r="M49" s="638"/>
      <c r="N49" s="638"/>
      <c r="O49" s="638"/>
      <c r="P49" s="638"/>
      <c r="Q49" s="638"/>
      <c r="R49" s="638"/>
      <c r="S49" s="638"/>
      <c r="T49" s="638"/>
      <c r="U49" s="674"/>
      <c r="V49" s="638"/>
      <c r="W49" s="674"/>
    </row>
    <row r="50" spans="1:28" ht="15">
      <c r="A50" s="659" t="s">
        <v>562</v>
      </c>
      <c r="B50" s="670"/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U50" s="674"/>
      <c r="V50" s="638"/>
      <c r="W50" s="674"/>
    </row>
    <row r="51" spans="1:28" ht="15">
      <c r="A51" s="627" t="s">
        <v>569</v>
      </c>
      <c r="B51" s="670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74"/>
      <c r="V51" s="638"/>
      <c r="W51" s="674"/>
    </row>
    <row r="52" spans="1:28">
      <c r="B52" s="670"/>
      <c r="C52" s="627"/>
      <c r="E52" s="638"/>
      <c r="F52" s="638"/>
      <c r="G52" s="638"/>
      <c r="H52" s="638"/>
      <c r="I52" s="638"/>
      <c r="J52" s="638"/>
      <c r="K52" s="638"/>
      <c r="L52" s="638"/>
      <c r="M52" s="638"/>
      <c r="N52" s="638"/>
      <c r="O52" s="638"/>
      <c r="P52" s="638"/>
      <c r="Q52" s="638"/>
      <c r="R52" s="638"/>
      <c r="S52" s="638"/>
      <c r="T52" s="638"/>
      <c r="V52" s="638"/>
    </row>
    <row r="53" spans="1:28" ht="15">
      <c r="A53" s="700" t="s">
        <v>570</v>
      </c>
      <c r="B53" s="670"/>
      <c r="D53" s="685"/>
      <c r="E53" s="638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/>
      <c r="R53" s="638"/>
      <c r="S53" s="638"/>
      <c r="T53" s="638"/>
      <c r="V53" s="638"/>
      <c r="X53" s="644"/>
      <c r="Y53" s="644"/>
      <c r="AB53" s="700"/>
    </row>
    <row r="54" spans="1:28">
      <c r="A54" s="670"/>
      <c r="B54" s="670"/>
      <c r="D54" s="685"/>
      <c r="E54" s="638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V54" s="638"/>
      <c r="X54" s="644"/>
      <c r="Y54" s="644"/>
      <c r="AB54" s="670"/>
    </row>
    <row r="55" spans="1:28">
      <c r="A55" s="670"/>
      <c r="B55" s="670"/>
      <c r="D55" s="685"/>
      <c r="E55" s="638"/>
      <c r="F55" s="638"/>
      <c r="G55" s="638"/>
      <c r="H55" s="638"/>
      <c r="I55" s="638"/>
      <c r="J55" s="638"/>
      <c r="K55" s="638"/>
      <c r="L55" s="638"/>
      <c r="M55" s="638"/>
      <c r="O55" s="638"/>
      <c r="Q55" s="638"/>
      <c r="R55" s="638"/>
      <c r="S55" s="638"/>
      <c r="AB55" s="670"/>
    </row>
  </sheetData>
  <sheetProtection algorithmName="SHA-512" hashValue="mCfSxfLqU04tWBUYBMEK9L1gp8oJcTYE7FbjVxTRvGtyX/aZVUSSyFm3uIAFWch5GpBU/kSygdVyPAvbuo9U7g==" saltValue="DAZ3Itse2o5slZhVkzA4JA==" spinCount="100000" sheet="1" objects="1" scenarios="1"/>
  <customSheetViews>
    <customSheetView guid="{12DF92E2-F0A4-4522-953F-2BCAD962F9B1}" showPageBreaks="1" showGridLines="0" fitToPage="1" printArea="1" view="pageBreakPreview">
      <pane xSplit="3" ySplit="4" topLeftCell="D5" activePane="bottomRight" state="frozen"/>
      <selection pane="bottomRight" activeCell="A20" sqref="A20:XFD20"/>
      <pageMargins left="0.2" right="0.2" top="0.5" bottom="0.5" header="0.3" footer="0.3"/>
      <pageSetup scale="72" orientation="landscape" horizontalDpi="300" verticalDpi="300" r:id="rId1"/>
    </customSheetView>
    <customSheetView guid="{CDF0923A-CEB9-47A0-BB71-B372AD18A6C5}" showPageBreaks="1" showGridLines="0" fitToPage="1" printArea="1" view="pageBreakPreview">
      <pane xSplit="3" ySplit="4" topLeftCell="D5" activePane="bottomRight" state="frozen"/>
      <selection pane="bottomRight" activeCell="C1" sqref="C1"/>
      <pageMargins left="0.2" right="0.2" top="0.5" bottom="0.5" header="0.3" footer="0.3"/>
      <pageSetup scale="72" orientation="landscape" horizontalDpi="300" verticalDpi="300" r:id="rId2"/>
    </customSheetView>
    <customSheetView guid="{1CB7F20C-5BCB-4F31-A665-EF07F93D0225}" showPageBreaks="1" showGridLines="0" fitToPage="1" printArea="1" hiddenColumns="1" view="pageBreakPreview">
      <pane xSplit="2" ySplit="4" topLeftCell="D14" activePane="bottomRight" state="frozen"/>
      <selection pane="bottomRight" activeCell="W1" sqref="W1:W1048576"/>
      <pageMargins left="0.2" right="0.2" top="0.5" bottom="0.5" header="0.3" footer="0.3"/>
      <printOptions horizontalCentered="1"/>
      <pageSetup scale="99" orientation="landscape" horizontalDpi="300" verticalDpi="300" r:id="rId3"/>
    </customSheetView>
    <customSheetView guid="{A3C5269A-712A-445D-A52D-32C4B0B08868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72" orientation="landscape" horizontalDpi="300" verticalDpi="300" r:id="rId4"/>
    </customSheetView>
    <customSheetView guid="{D2801948-3667-42F1-A855-2C3A7F5D75C1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72" orientation="landscape" horizontalDpi="300" verticalDpi="300" r:id="rId5"/>
    </customSheetView>
    <customSheetView guid="{6B8B0E6B-B6D7-44A4-A1E7-F92938C31FF1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72" orientation="landscape" horizontalDpi="300" verticalDpi="300" r:id="rId6"/>
    </customSheetView>
    <customSheetView guid="{E6F23B71-2871-41D0-8B3E-C5A92D17DA9C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72" orientation="landscape" horizontalDpi="300" verticalDpi="300" r:id="rId7"/>
    </customSheetView>
    <customSheetView guid="{3D995FFA-456E-4A0A-AF78-CD5180B1C163}" showPageBreaks="1" showGridLines="0" fitToPage="1" printArea="1" view="pageBreakPreview">
      <pane xSplit="3" ySplit="4" topLeftCell="D14" activePane="bottomRight" state="frozen"/>
      <selection pane="bottomRight" activeCell="K4" sqref="K4"/>
      <pageMargins left="0.2" right="0.2" top="0.5" bottom="0.5" header="0.3" footer="0.3"/>
      <pageSetup scale="83" orientation="landscape" horizontalDpi="300" verticalDpi="300" r:id="rId8"/>
    </customSheetView>
    <customSheetView guid="{F7AAF2C2-30F8-4A4D-9DCA-2CE431E237EF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83" orientation="landscape" horizontalDpi="300" verticalDpi="300" r:id="rId9"/>
    </customSheetView>
    <customSheetView guid="{CF016ED8-8B91-4622-8F1B-C12FD046BBA3}" showPageBreaks="1" showGridLines="0" fitToPage="1" printArea="1" view="pageBreakPreview">
      <pane xSplit="3" ySplit="4" topLeftCell="D5" activePane="bottomRight" state="frozen"/>
      <selection pane="bottomRight" activeCell="C1" sqref="C1"/>
      <pageMargins left="0.2" right="0.2" top="0.5" bottom="0.5" header="0.3" footer="0.3"/>
      <pageSetup scale="83" orientation="landscape" horizontalDpi="300" verticalDpi="300" r:id="rId10"/>
    </customSheetView>
    <customSheetView guid="{A948BEAA-C943-439F-A074-9FFD96C20787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83" orientation="landscape" horizontalDpi="300" verticalDpi="300" r:id="rId11"/>
    </customSheetView>
    <customSheetView guid="{F15FCE5B-4793-4E19-BCC1-0B2A44E18C59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83" orientation="landscape" horizontalDpi="300" verticalDpi="300" r:id="rId12"/>
    </customSheetView>
    <customSheetView guid="{C758BCB7-A66F-4816-80B2-6959FA24FF89}" showPageBreaks="1" showGridLines="0" fitToPage="1" printArea="1" view="pageBreakPreview">
      <pane xSplit="3" ySplit="4" topLeftCell="D5" activePane="bottomRight" state="frozen"/>
      <selection pane="bottomRight" activeCell="T35" sqref="T35"/>
      <pageMargins left="0.2" right="0.2" top="0.5" bottom="0.5" header="0.3" footer="0.3"/>
      <pageSetup scale="83" orientation="landscape" horizontalDpi="300" verticalDpi="300" r:id="rId13"/>
      <headerFooter>
        <oddHeader>&amp;C&amp;16Attachment C: Summary Tables of Affordable Housing Outcomes Under Various Development Scenarios</oddHeader>
      </headerFooter>
    </customSheetView>
  </customSheetViews>
  <mergeCells count="1">
    <mergeCell ref="U3:W3"/>
  </mergeCells>
  <printOptions horizontalCentered="1"/>
  <pageMargins left="0.7" right="0.7" top="0.75" bottom="0.75" header="0.3" footer="0.3"/>
  <pageSetup scale="70" orientation="landscape" r:id="rId14"/>
  <headerFooter>
    <oddHeader>&amp;C&amp;16Attachment D: Summary Tables of Affordable Housing Outcomes Under Various Development Scenarios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S54"/>
  <sheetViews>
    <sheetView showGridLines="0" view="pageBreakPreview" zoomScaleNormal="100" zoomScaleSheetLayoutView="100" workbookViewId="0">
      <pane xSplit="3" ySplit="4" topLeftCell="O11" activePane="bottomRight" state="frozen"/>
      <selection activeCell="AB1" sqref="AB1:AC1048576"/>
      <selection pane="topRight" activeCell="AB1" sqref="AB1:AC1048576"/>
      <selection pane="bottomLeft" activeCell="AB1" sqref="AB1:AC1048576"/>
      <selection pane="bottomRight" sqref="A1:XFD1048576"/>
    </sheetView>
  </sheetViews>
  <sheetFormatPr defaultColWidth="9.140625" defaultRowHeight="13.5"/>
  <cols>
    <col min="1" max="1" width="38.7109375" style="627" customWidth="1"/>
    <col min="2" max="2" width="1" style="627" customWidth="1"/>
    <col min="3" max="3" width="10" style="638" bestFit="1" customWidth="1"/>
    <col min="4" max="4" width="1" style="627" customWidth="1"/>
    <col min="5" max="5" width="5.5703125" style="627" bestFit="1" customWidth="1"/>
    <col min="6" max="6" width="1" style="627" customWidth="1"/>
    <col min="7" max="7" width="7.28515625" style="627" bestFit="1" customWidth="1"/>
    <col min="8" max="8" width="1" style="627" customWidth="1"/>
    <col min="9" max="9" width="9.42578125" style="627" customWidth="1"/>
    <col min="10" max="10" width="1.140625" style="627" customWidth="1"/>
    <col min="11" max="11" width="8.85546875" style="627" customWidth="1"/>
    <col min="12" max="12" width="2.140625" style="627" customWidth="1"/>
    <col min="13" max="13" width="8.42578125" style="627" customWidth="1"/>
    <col min="14" max="14" width="2.140625" style="627" customWidth="1"/>
    <col min="15" max="15" width="11" style="627" customWidth="1"/>
    <col min="16" max="16" width="2.140625" style="627" bestFit="1" customWidth="1"/>
    <col min="17" max="17" width="9.5703125" style="627" customWidth="1"/>
    <col min="18" max="18" width="2.140625" style="627" bestFit="1" customWidth="1"/>
    <col min="19" max="19" width="7.85546875" style="627" bestFit="1" customWidth="1"/>
    <col min="20" max="20" width="2.140625" style="627" bestFit="1" customWidth="1"/>
    <col min="21" max="21" width="8.85546875" style="627" bestFit="1" customWidth="1"/>
    <col min="22" max="22" width="2.140625" style="627" bestFit="1" customWidth="1"/>
    <col min="23" max="23" width="10.85546875" style="627" bestFit="1" customWidth="1"/>
    <col min="24" max="24" width="2.140625" style="627" bestFit="1" customWidth="1"/>
    <col min="25" max="25" width="8.28515625" style="627" customWidth="1"/>
    <col min="26" max="26" width="2.140625" style="627" bestFit="1" customWidth="1"/>
    <col min="27" max="27" width="7.7109375" style="627" bestFit="1" customWidth="1"/>
    <col min="28" max="28" width="2.140625" style="627" bestFit="1" customWidth="1"/>
    <col min="29" max="29" width="10.7109375" style="627" bestFit="1" customWidth="1"/>
    <col min="30" max="30" width="2.140625" style="627" bestFit="1" customWidth="1"/>
    <col min="31" max="31" width="9.28515625" style="627" customWidth="1"/>
    <col min="32" max="32" width="2.140625" style="627" customWidth="1"/>
    <col min="33" max="33" width="9.85546875" style="627" bestFit="1" customWidth="1"/>
    <col min="34" max="34" width="7.140625" style="627" bestFit="1" customWidth="1"/>
    <col min="35" max="35" width="14.5703125" style="627" customWidth="1"/>
    <col min="36" max="36" width="17" style="627" customWidth="1"/>
    <col min="37" max="37" width="14.5703125" style="627" bestFit="1" customWidth="1"/>
    <col min="38" max="38" width="14.5703125" style="627" customWidth="1"/>
    <col min="39" max="39" width="11" style="627" customWidth="1"/>
    <col min="40" max="40" width="3.5703125" style="627" customWidth="1"/>
    <col min="41" max="41" width="11.28515625" style="627" customWidth="1"/>
    <col min="42" max="42" width="3.5703125" style="627" customWidth="1"/>
    <col min="43" max="43" width="12.5703125" style="627" bestFit="1" customWidth="1"/>
    <col min="44" max="44" width="13.7109375" style="627" bestFit="1" customWidth="1"/>
    <col min="45" max="45" width="9" style="627" bestFit="1" customWidth="1"/>
    <col min="46" max="16384" width="9.140625" style="627"/>
  </cols>
  <sheetData>
    <row r="1" spans="1:45" ht="15">
      <c r="A1" s="621" t="s">
        <v>533</v>
      </c>
      <c r="B1" s="621"/>
      <c r="C1" s="622" t="s">
        <v>534</v>
      </c>
      <c r="D1" s="622"/>
      <c r="E1" s="622" t="s">
        <v>535</v>
      </c>
      <c r="F1" s="622"/>
      <c r="G1" s="622" t="s">
        <v>536</v>
      </c>
      <c r="H1" s="622"/>
      <c r="I1" s="622" t="s">
        <v>537</v>
      </c>
      <c r="J1" s="622"/>
      <c r="K1" s="622" t="s">
        <v>538</v>
      </c>
      <c r="L1" s="622"/>
      <c r="M1" s="622" t="s">
        <v>539</v>
      </c>
      <c r="N1" s="622"/>
      <c r="O1" s="622" t="s">
        <v>538</v>
      </c>
      <c r="P1" s="622"/>
      <c r="Q1" s="622" t="s">
        <v>539</v>
      </c>
      <c r="R1" s="622"/>
      <c r="S1" s="622" t="s">
        <v>540</v>
      </c>
      <c r="T1" s="622"/>
      <c r="U1" s="622" t="s">
        <v>541</v>
      </c>
      <c r="V1" s="622"/>
      <c r="W1" s="622" t="s">
        <v>542</v>
      </c>
      <c r="X1" s="622"/>
      <c r="Y1" s="622" t="s">
        <v>543</v>
      </c>
      <c r="Z1" s="622"/>
      <c r="AA1" s="622" t="s">
        <v>544</v>
      </c>
      <c r="AB1" s="622"/>
      <c r="AC1" s="622" t="s">
        <v>545</v>
      </c>
      <c r="AD1" s="622"/>
      <c r="AE1" s="622" t="s">
        <v>611</v>
      </c>
      <c r="AF1" s="622"/>
      <c r="AG1" s="622" t="s">
        <v>611</v>
      </c>
      <c r="AJ1" s="621"/>
      <c r="AM1" s="694">
        <v>0.15</v>
      </c>
      <c r="AO1" s="694">
        <v>0.4</v>
      </c>
    </row>
    <row r="2" spans="1:45" ht="6" customHeight="1">
      <c r="AF2" s="625"/>
      <c r="AG2" s="625"/>
    </row>
    <row r="3" spans="1:45" ht="15">
      <c r="C3" s="628" t="s">
        <v>563</v>
      </c>
      <c r="D3" s="629"/>
      <c r="E3" s="629"/>
      <c r="F3" s="629"/>
      <c r="G3" s="629"/>
      <c r="H3" s="629"/>
      <c r="I3" s="630"/>
      <c r="K3" s="686" t="s">
        <v>592</v>
      </c>
      <c r="L3" s="687"/>
      <c r="M3" s="687"/>
      <c r="N3" s="687"/>
      <c r="O3" s="688" t="s">
        <v>592</v>
      </c>
      <c r="P3" s="687"/>
      <c r="Q3" s="686"/>
      <c r="S3" s="686" t="s">
        <v>613</v>
      </c>
      <c r="T3" s="687"/>
      <c r="U3" s="687"/>
      <c r="V3" s="687"/>
      <c r="W3" s="687"/>
      <c r="Y3" s="686" t="s">
        <v>656</v>
      </c>
      <c r="Z3" s="630"/>
      <c r="AA3" s="686"/>
      <c r="AC3" s="865" t="s">
        <v>612</v>
      </c>
      <c r="AD3" s="866"/>
      <c r="AE3" s="866"/>
      <c r="AF3" s="799"/>
      <c r="AG3" s="799"/>
      <c r="AI3" s="727">
        <f>O21+Q21+S21+U21-AO21</f>
        <v>206602.80000000005</v>
      </c>
      <c r="AJ3" s="727">
        <f>AI3*0.5</f>
        <v>103301.40000000002</v>
      </c>
      <c r="AK3" s="727">
        <f>AJ3+AA21</f>
        <v>637499.4</v>
      </c>
    </row>
    <row r="4" spans="1:45" ht="90">
      <c r="A4" s="621" t="s">
        <v>60</v>
      </c>
      <c r="B4" s="689"/>
      <c r="C4" s="622" t="s">
        <v>547</v>
      </c>
      <c r="D4" s="634"/>
      <c r="E4" s="634" t="s">
        <v>548</v>
      </c>
      <c r="F4" s="634"/>
      <c r="G4" s="634" t="s">
        <v>332</v>
      </c>
      <c r="H4" s="634"/>
      <c r="I4" s="634" t="s">
        <v>660</v>
      </c>
      <c r="J4" s="635"/>
      <c r="K4" s="634" t="s">
        <v>662</v>
      </c>
      <c r="L4" s="634" t="s">
        <v>368</v>
      </c>
      <c r="M4" s="634" t="s">
        <v>661</v>
      </c>
      <c r="N4" s="634" t="s">
        <v>551</v>
      </c>
      <c r="O4" s="634" t="s">
        <v>663</v>
      </c>
      <c r="P4" s="634" t="s">
        <v>368</v>
      </c>
      <c r="Q4" s="634" t="s">
        <v>639</v>
      </c>
      <c r="R4" s="634" t="s">
        <v>368</v>
      </c>
      <c r="S4" s="634" t="s">
        <v>651</v>
      </c>
      <c r="T4" s="634" t="s">
        <v>368</v>
      </c>
      <c r="U4" s="634" t="s">
        <v>654</v>
      </c>
      <c r="V4" s="634" t="s">
        <v>551</v>
      </c>
      <c r="W4" s="634" t="s">
        <v>564</v>
      </c>
      <c r="X4" s="634" t="s">
        <v>368</v>
      </c>
      <c r="Y4" s="634" t="s">
        <v>650</v>
      </c>
      <c r="Z4" s="634" t="s">
        <v>368</v>
      </c>
      <c r="AA4" s="634" t="s">
        <v>312</v>
      </c>
      <c r="AB4" s="634" t="s">
        <v>551</v>
      </c>
      <c r="AC4" s="634" t="s">
        <v>388</v>
      </c>
      <c r="AD4" s="634" t="s">
        <v>368</v>
      </c>
      <c r="AE4" s="634" t="s">
        <v>450</v>
      </c>
      <c r="AF4" s="634" t="s">
        <v>551</v>
      </c>
      <c r="AG4" s="634" t="str">
        <f>Summary!$A$30</f>
        <v>Total Net City Fund Impact (AHTF + Other)</v>
      </c>
      <c r="AH4" s="634"/>
      <c r="AI4" s="634" t="s">
        <v>596</v>
      </c>
      <c r="AJ4" s="621" t="s">
        <v>232</v>
      </c>
      <c r="AK4" s="634" t="s">
        <v>594</v>
      </c>
      <c r="AL4" s="634" t="s">
        <v>595</v>
      </c>
      <c r="AM4" s="634" t="s">
        <v>579</v>
      </c>
      <c r="AO4" s="634" t="s">
        <v>572</v>
      </c>
      <c r="AQ4" s="634" t="s">
        <v>565</v>
      </c>
    </row>
    <row r="5" spans="1:45" ht="6" customHeight="1">
      <c r="A5" s="624"/>
      <c r="B5" s="624"/>
      <c r="C5" s="636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Z5" s="624"/>
      <c r="AA5" s="624"/>
      <c r="AB5" s="624"/>
      <c r="AC5" s="624"/>
      <c r="AD5" s="624"/>
      <c r="AE5" s="624"/>
      <c r="AF5" s="624"/>
      <c r="AG5" s="624"/>
      <c r="AJ5" s="624"/>
      <c r="AM5" s="624"/>
      <c r="AO5" s="624"/>
    </row>
    <row r="6" spans="1:45" ht="18.75">
      <c r="A6" s="726" t="s">
        <v>705</v>
      </c>
      <c r="E6" s="639"/>
      <c r="F6" s="639"/>
      <c r="G6" s="639"/>
      <c r="H6" s="639"/>
      <c r="I6" s="639"/>
      <c r="J6" s="639"/>
      <c r="K6" s="640"/>
      <c r="L6" s="640"/>
      <c r="M6" s="639"/>
      <c r="N6" s="640"/>
      <c r="O6" s="640"/>
      <c r="P6" s="639"/>
      <c r="Q6" s="639"/>
      <c r="R6" s="640"/>
      <c r="S6" s="639"/>
      <c r="T6" s="640"/>
      <c r="U6" s="639"/>
      <c r="V6" s="640"/>
      <c r="W6" s="639"/>
      <c r="X6" s="640"/>
      <c r="Y6" s="639"/>
      <c r="Z6" s="640"/>
      <c r="AA6" s="639"/>
      <c r="AB6" s="640"/>
      <c r="AD6" s="640"/>
      <c r="AJ6" s="637"/>
      <c r="AM6" s="639"/>
      <c r="AO6" s="639"/>
      <c r="AQ6" s="690">
        <v>79</v>
      </c>
      <c r="AR6" s="627" t="s">
        <v>566</v>
      </c>
    </row>
    <row r="7" spans="1:45" ht="6" customHeight="1">
      <c r="A7" s="637"/>
      <c r="E7" s="639"/>
      <c r="F7" s="639"/>
      <c r="G7" s="639"/>
      <c r="H7" s="639"/>
      <c r="I7" s="639"/>
      <c r="J7" s="639"/>
      <c r="K7" s="640"/>
      <c r="L7" s="640"/>
      <c r="M7" s="639"/>
      <c r="N7" s="640"/>
      <c r="O7" s="640"/>
      <c r="P7" s="639"/>
      <c r="Q7" s="639"/>
      <c r="R7" s="640"/>
      <c r="S7" s="639"/>
      <c r="T7" s="640"/>
      <c r="U7" s="639"/>
      <c r="V7" s="640"/>
      <c r="W7" s="639"/>
      <c r="X7" s="640"/>
      <c r="Y7" s="639"/>
      <c r="Z7" s="640"/>
      <c r="AA7" s="639"/>
      <c r="AB7" s="640"/>
      <c r="AD7" s="640"/>
      <c r="AF7" s="644"/>
      <c r="AG7" s="644"/>
      <c r="AJ7" s="637"/>
      <c r="AM7" s="639"/>
      <c r="AO7" s="639"/>
    </row>
    <row r="8" spans="1:45" ht="15">
      <c r="A8" s="637" t="s">
        <v>667</v>
      </c>
      <c r="E8" s="639"/>
      <c r="F8" s="639"/>
      <c r="G8" s="639"/>
      <c r="H8" s="639"/>
      <c r="I8" s="639"/>
      <c r="J8" s="639"/>
      <c r="K8" s="640"/>
      <c r="L8" s="640"/>
      <c r="M8" s="639"/>
      <c r="N8" s="640"/>
      <c r="O8" s="640"/>
      <c r="P8" s="639"/>
      <c r="Q8" s="639"/>
      <c r="R8" s="640"/>
      <c r="S8" s="639"/>
      <c r="T8" s="640"/>
      <c r="U8" s="639"/>
      <c r="V8" s="640"/>
      <c r="W8" s="639"/>
      <c r="X8" s="640"/>
      <c r="Y8" s="639"/>
      <c r="Z8" s="640"/>
      <c r="AA8" s="639"/>
      <c r="AB8" s="640"/>
      <c r="AD8" s="640"/>
      <c r="AJ8" s="637"/>
      <c r="AM8" s="639"/>
      <c r="AO8" s="639"/>
    </row>
    <row r="9" spans="1:45">
      <c r="A9" s="709" t="str">
        <f>Sites!A5</f>
        <v>Wood Street</v>
      </c>
      <c r="B9" s="642"/>
      <c r="C9" s="646">
        <f>SUMIF(Sites!$A:$A,$A9,Sites!$I:$I)</f>
        <v>147081</v>
      </c>
      <c r="D9" s="643"/>
      <c r="E9" s="646">
        <f>SUMIF(Sites!$A:$A,$A9,Sites!$EI:$EI)</f>
        <v>292</v>
      </c>
      <c r="F9" s="643"/>
      <c r="G9" s="646">
        <f>SUMIF(Sites!$A:$A,$A9,Sites!$EJ:$EJ)</f>
        <v>0</v>
      </c>
      <c r="H9" s="643"/>
      <c r="I9" s="643">
        <v>0</v>
      </c>
      <c r="J9" s="643"/>
      <c r="K9" s="644">
        <f>SUMIF(Sites!$A:$A,$A9,Sites!$AG:$AG)</f>
        <v>11766480</v>
      </c>
      <c r="L9" s="643"/>
      <c r="M9" s="644">
        <v>0</v>
      </c>
      <c r="N9" s="691"/>
      <c r="O9" s="644">
        <f>SUM(K9:M9)</f>
        <v>11766480</v>
      </c>
      <c r="P9" s="707"/>
      <c r="Q9" s="644">
        <f t="shared" ref="Q9:Q14" si="0">-C$42*$E9</f>
        <v>-29711584</v>
      </c>
      <c r="R9" s="707"/>
      <c r="S9" s="644">
        <f>0</f>
        <v>0</v>
      </c>
      <c r="T9" s="707"/>
      <c r="U9" s="644">
        <f t="shared" ref="U9:U14" si="1">-IF(E9+G9&gt;$AQ$6,$C$47*AQ9,0)</f>
        <v>-4788800</v>
      </c>
      <c r="V9" s="707"/>
      <c r="W9" s="644">
        <f>Q9+S9+U9</f>
        <v>-34500384</v>
      </c>
      <c r="X9" s="707"/>
      <c r="Y9" s="644">
        <v>0</v>
      </c>
      <c r="Z9" s="707"/>
      <c r="AA9" s="644">
        <v>0</v>
      </c>
      <c r="AB9" s="707"/>
      <c r="AC9" s="644">
        <f>SUM(W9:AA9)</f>
        <v>-34500384</v>
      </c>
      <c r="AD9" s="707"/>
      <c r="AE9" s="644">
        <v>0</v>
      </c>
      <c r="AF9" s="644"/>
      <c r="AG9" s="644">
        <f>AC9+AE9</f>
        <v>-34500384</v>
      </c>
      <c r="AH9" s="644" t="b">
        <f>AI9=(AC9+AK9)</f>
        <v>1</v>
      </c>
      <c r="AI9" s="644">
        <f>SUMIF(Sites!$A:$A,$A9,Sites!$DR:$DR)</f>
        <v>-34500384</v>
      </c>
      <c r="AJ9" s="641"/>
      <c r="AK9" s="644">
        <f>IF(O9+Q9-AO9&gt;0,AO9,0)</f>
        <v>0</v>
      </c>
      <c r="AL9" s="644">
        <f>AC9+AK9</f>
        <v>-34500384</v>
      </c>
      <c r="AM9" s="644">
        <v>0</v>
      </c>
      <c r="AO9" s="644">
        <v>0</v>
      </c>
      <c r="AQ9" s="644">
        <f t="shared" ref="AQ9:AQ14" si="2">(E9+G9)*$C$45</f>
        <v>95776000</v>
      </c>
      <c r="AS9" s="692"/>
    </row>
    <row r="10" spans="1:45">
      <c r="A10" s="709" t="str">
        <f>Sites!A8</f>
        <v>Piedmont Ave/Howe St Parking</v>
      </c>
      <c r="B10" s="642"/>
      <c r="C10" s="646">
        <f>SUMIF(Sites!$A:$A,$A10,Sites!$I:$I)</f>
        <v>43532</v>
      </c>
      <c r="D10" s="643"/>
      <c r="E10" s="646">
        <f>SUMIF(Sites!$A:$A,$A10,Sites!$EI:$EI)</f>
        <v>97</v>
      </c>
      <c r="F10" s="643"/>
      <c r="G10" s="646">
        <f>SUMIF(Sites!$A:$A,$A10,Sites!$EJ:$EJ)</f>
        <v>0</v>
      </c>
      <c r="H10" s="643"/>
      <c r="I10" s="643">
        <v>0</v>
      </c>
      <c r="J10" s="643"/>
      <c r="K10" s="644">
        <f>SUMIF(Sites!$A:$A,$A10,Sites!$AG:$AG)</f>
        <v>15236200</v>
      </c>
      <c r="L10" s="643"/>
      <c r="M10" s="644">
        <v>0</v>
      </c>
      <c r="N10" s="691"/>
      <c r="O10" s="644">
        <f>SUM(K10:M10)</f>
        <v>15236200</v>
      </c>
      <c r="P10" s="707"/>
      <c r="Q10" s="644">
        <f t="shared" si="0"/>
        <v>-9869944</v>
      </c>
      <c r="R10" s="707"/>
      <c r="S10" s="644">
        <f>0</f>
        <v>0</v>
      </c>
      <c r="T10" s="707"/>
      <c r="U10" s="644">
        <f t="shared" si="1"/>
        <v>-1590800</v>
      </c>
      <c r="V10" s="707"/>
      <c r="W10" s="644">
        <f>Q10+S10+U10</f>
        <v>-11460744</v>
      </c>
      <c r="X10" s="707"/>
      <c r="Y10" s="644">
        <v>0</v>
      </c>
      <c r="Z10" s="707"/>
      <c r="AA10" s="644">
        <v>0</v>
      </c>
      <c r="AB10" s="707"/>
      <c r="AC10" s="644">
        <f>SUM(W10:AA10)</f>
        <v>-11460744</v>
      </c>
      <c r="AD10" s="707"/>
      <c r="AE10" s="644">
        <v>0</v>
      </c>
      <c r="AF10" s="644"/>
      <c r="AG10" s="644">
        <f t="shared" ref="AG10:AG14" si="3">AC10+AE10</f>
        <v>-11460744</v>
      </c>
      <c r="AH10" s="644" t="b">
        <f>AI10=(AC10+AK10)</f>
        <v>1</v>
      </c>
      <c r="AI10" s="644">
        <f>SUMIF(Sites!$A:$A,$A10,Sites!$DR:$DR)</f>
        <v>-11460744</v>
      </c>
      <c r="AJ10" s="641"/>
      <c r="AK10" s="644">
        <f>IF(O10+Q10-AO10&gt;0,AO10,0)</f>
        <v>0</v>
      </c>
      <c r="AL10" s="644">
        <f>AC10+AK10</f>
        <v>-11460744</v>
      </c>
      <c r="AM10" s="644">
        <v>0</v>
      </c>
      <c r="AO10" s="644">
        <v>0</v>
      </c>
      <c r="AQ10" s="644">
        <f t="shared" si="2"/>
        <v>31816000</v>
      </c>
    </row>
    <row r="11" spans="1:45">
      <c r="A11" s="709" t="str">
        <f>Sites!A15</f>
        <v>8280 &amp; 8296 MacArthur</v>
      </c>
      <c r="B11" s="642"/>
      <c r="C11" s="646">
        <f>SUMIF(Sites!$A:$A,$A11,Sites!$I:$I)</f>
        <v>12720</v>
      </c>
      <c r="D11" s="643"/>
      <c r="E11" s="646">
        <f>SUMIF(Sites!$A:$A,$A11,Sites!$EI:$EI)</f>
        <v>8</v>
      </c>
      <c r="F11" s="643"/>
      <c r="G11" s="646">
        <f>SUMIF(Sites!$A:$A,$A11,Sites!$EJ:$EJ)</f>
        <v>0</v>
      </c>
      <c r="H11" s="643"/>
      <c r="I11" s="643">
        <v>0</v>
      </c>
      <c r="J11" s="643"/>
      <c r="K11" s="644">
        <f>SUMIF(Sites!$A:$A,$A11,Sites!$AG:$AG)</f>
        <v>826800</v>
      </c>
      <c r="L11" s="645"/>
      <c r="M11" s="644">
        <v>0</v>
      </c>
      <c r="N11" s="691"/>
      <c r="O11" s="644">
        <f>SUM(K11:M11)</f>
        <v>826800</v>
      </c>
      <c r="P11" s="707"/>
      <c r="Q11" s="644">
        <f t="shared" si="0"/>
        <v>-814016</v>
      </c>
      <c r="R11" s="707"/>
      <c r="S11" s="644">
        <f>0</f>
        <v>0</v>
      </c>
      <c r="T11" s="707"/>
      <c r="U11" s="644">
        <f t="shared" si="1"/>
        <v>0</v>
      </c>
      <c r="V11" s="707"/>
      <c r="W11" s="644">
        <f t="shared" ref="W11:W12" si="4">Q11+S11+U11</f>
        <v>-814016</v>
      </c>
      <c r="X11" s="707"/>
      <c r="Y11" s="644">
        <v>0</v>
      </c>
      <c r="Z11" s="707"/>
      <c r="AA11" s="644">
        <v>0</v>
      </c>
      <c r="AB11" s="707"/>
      <c r="AC11" s="644">
        <f t="shared" ref="AC11:AC12" si="5">SUM(W11:AA11)</f>
        <v>-814016</v>
      </c>
      <c r="AD11" s="707"/>
      <c r="AE11" s="644">
        <v>0</v>
      </c>
      <c r="AF11" s="644"/>
      <c r="AG11" s="644">
        <f t="shared" si="3"/>
        <v>-814016</v>
      </c>
      <c r="AH11" s="644" t="b">
        <f t="shared" ref="AH11:AH12" si="6">AI11=(AC11+AK11)</f>
        <v>1</v>
      </c>
      <c r="AI11" s="644">
        <f>SUMIF(Sites!$A:$A,$A11,Sites!$DR:$DR)</f>
        <v>-814016</v>
      </c>
      <c r="AJ11" s="641"/>
      <c r="AK11" s="644">
        <f t="shared" ref="AK11:AK12" si="7">IF(O11+Q11-AO11&gt;0,AO11,0)</f>
        <v>0</v>
      </c>
      <c r="AL11" s="644">
        <f t="shared" ref="AL11:AL12" si="8">AC11+AK11</f>
        <v>-814016</v>
      </c>
      <c r="AM11" s="644">
        <v>0</v>
      </c>
      <c r="AO11" s="644">
        <v>0</v>
      </c>
      <c r="AQ11" s="644">
        <f t="shared" si="2"/>
        <v>2624000</v>
      </c>
    </row>
    <row r="12" spans="1:45">
      <c r="A12" s="709" t="str">
        <f>Sites!A17</f>
        <v>10451 MacArthur</v>
      </c>
      <c r="B12" s="642"/>
      <c r="C12" s="646">
        <f>SUMIF(Sites!$A:$A,$A12,Sites!$I:$I)</f>
        <v>23000</v>
      </c>
      <c r="D12" s="643"/>
      <c r="E12" s="646">
        <f>SUMIF(Sites!$A:$A,$A12,Sites!$EI:$EI)</f>
        <v>52</v>
      </c>
      <c r="F12" s="643"/>
      <c r="G12" s="646">
        <f>SUMIF(Sites!$A:$A,$A12,Sites!$EJ:$EJ)</f>
        <v>0</v>
      </c>
      <c r="H12" s="643"/>
      <c r="I12" s="643">
        <v>0</v>
      </c>
      <c r="J12" s="643"/>
      <c r="K12" s="644">
        <f>SUMIF(Sites!$A:$A,$A12,Sites!$AG:$AG)</f>
        <v>1035000</v>
      </c>
      <c r="L12" s="643"/>
      <c r="M12" s="644">
        <v>0</v>
      </c>
      <c r="N12" s="691"/>
      <c r="O12" s="644">
        <f>SUM(K12:M12)</f>
        <v>1035000</v>
      </c>
      <c r="P12" s="707"/>
      <c r="Q12" s="644">
        <f t="shared" si="0"/>
        <v>-5291104</v>
      </c>
      <c r="R12" s="707"/>
      <c r="S12" s="644">
        <f>0</f>
        <v>0</v>
      </c>
      <c r="T12" s="707"/>
      <c r="U12" s="644">
        <f t="shared" si="1"/>
        <v>0</v>
      </c>
      <c r="V12" s="707"/>
      <c r="W12" s="644">
        <f t="shared" si="4"/>
        <v>-5291104</v>
      </c>
      <c r="X12" s="707"/>
      <c r="Y12" s="644">
        <v>0</v>
      </c>
      <c r="Z12" s="707"/>
      <c r="AA12" s="644">
        <v>0</v>
      </c>
      <c r="AB12" s="707"/>
      <c r="AC12" s="644">
        <f t="shared" si="5"/>
        <v>-5291104</v>
      </c>
      <c r="AD12" s="707"/>
      <c r="AE12" s="644">
        <v>0</v>
      </c>
      <c r="AF12" s="644"/>
      <c r="AG12" s="644">
        <f t="shared" si="3"/>
        <v>-5291104</v>
      </c>
      <c r="AH12" s="644" t="b">
        <f t="shared" si="6"/>
        <v>1</v>
      </c>
      <c r="AI12" s="644">
        <f>SUMIF(Sites!$A:$A,$A12,Sites!$DR:$DR)</f>
        <v>-5291104</v>
      </c>
      <c r="AJ12" s="641"/>
      <c r="AK12" s="644">
        <f t="shared" si="7"/>
        <v>0</v>
      </c>
      <c r="AL12" s="644">
        <f t="shared" si="8"/>
        <v>-5291104</v>
      </c>
      <c r="AM12" s="644">
        <v>0</v>
      </c>
      <c r="AO12" s="644">
        <v>0</v>
      </c>
      <c r="AQ12" s="644">
        <f t="shared" si="2"/>
        <v>17056000</v>
      </c>
    </row>
    <row r="13" spans="1:45">
      <c r="A13" s="709" t="str">
        <f>Sites!A18</f>
        <v>Barcelona Site (Oak Knoll)</v>
      </c>
      <c r="B13" s="642"/>
      <c r="C13" s="646">
        <f>SUMIF(Sites!$A:$A,$A13,Sites!$I:$I)</f>
        <v>205337</v>
      </c>
      <c r="D13" s="643"/>
      <c r="E13" s="646">
        <f>SUMIF(Sites!$A:$A,$A13,Sites!$EI:$EI)</f>
        <v>23</v>
      </c>
      <c r="F13" s="643"/>
      <c r="G13" s="646">
        <f>SUMIF(Sites!$A:$A,$A13,Sites!$EJ:$EJ)</f>
        <v>0</v>
      </c>
      <c r="H13" s="643"/>
      <c r="I13" s="643">
        <v>0</v>
      </c>
      <c r="J13" s="643"/>
      <c r="K13" s="644">
        <f>SUMIF(Sites!$A:$A,$A13,Sites!$AG:$AG)</f>
        <v>2550000</v>
      </c>
      <c r="L13" s="643"/>
      <c r="M13" s="644">
        <v>0</v>
      </c>
      <c r="N13" s="691"/>
      <c r="O13" s="644">
        <f t="shared" ref="O13" si="9">SUM(K13:M13)</f>
        <v>2550000</v>
      </c>
      <c r="P13" s="707"/>
      <c r="Q13" s="644">
        <f t="shared" si="0"/>
        <v>-2340296</v>
      </c>
      <c r="R13" s="707"/>
      <c r="S13" s="644">
        <f>0</f>
        <v>0</v>
      </c>
      <c r="T13" s="707"/>
      <c r="U13" s="644">
        <f t="shared" si="1"/>
        <v>0</v>
      </c>
      <c r="V13" s="707"/>
      <c r="W13" s="644">
        <f>Q13+S13+U13</f>
        <v>-2340296</v>
      </c>
      <c r="X13" s="707"/>
      <c r="Y13" s="644">
        <v>0</v>
      </c>
      <c r="Z13" s="707"/>
      <c r="AA13" s="644">
        <v>0</v>
      </c>
      <c r="AB13" s="707"/>
      <c r="AC13" s="644">
        <f>SUM(W13:AA13)</f>
        <v>-2340296</v>
      </c>
      <c r="AD13" s="707"/>
      <c r="AE13" s="644">
        <v>0</v>
      </c>
      <c r="AF13" s="644"/>
      <c r="AG13" s="644">
        <f t="shared" si="3"/>
        <v>-2340296</v>
      </c>
      <c r="AH13" s="644" t="b">
        <f>AI13=(AC13+AK13)</f>
        <v>1</v>
      </c>
      <c r="AI13" s="644">
        <f>SUMIF(Sites!$A:$A,$A13,Sites!$DR:$DR)</f>
        <v>-2340296</v>
      </c>
      <c r="AJ13" s="641"/>
      <c r="AK13" s="644">
        <f>IF(O13+Q13-AO13&gt;0,AO13,0)</f>
        <v>0</v>
      </c>
      <c r="AL13" s="644">
        <f>AC13+AK13</f>
        <v>-2340296</v>
      </c>
      <c r="AM13" s="644">
        <v>0</v>
      </c>
      <c r="AO13" s="644">
        <v>0</v>
      </c>
      <c r="AQ13" s="644">
        <f t="shared" si="2"/>
        <v>7544000</v>
      </c>
    </row>
    <row r="14" spans="1:45">
      <c r="A14" s="709" t="str">
        <f>Sites!A20</f>
        <v>1800 San Pablo</v>
      </c>
      <c r="C14" s="646">
        <f>SUMIF(Sites!$A:$A,$A14,Sites!$I:$I)</f>
        <v>44347</v>
      </c>
      <c r="D14" s="642"/>
      <c r="E14" s="646">
        <f>SUMIF(Sites!$A:$A,$A14,Sites!$EI:$EI)</f>
        <v>99</v>
      </c>
      <c r="F14" s="643"/>
      <c r="G14" s="646">
        <f>SUMIF(Sites!$A:$A,$A14,Sites!$EJ:$EJ)</f>
        <v>0</v>
      </c>
      <c r="H14" s="643"/>
      <c r="I14" s="643">
        <v>0</v>
      </c>
      <c r="J14" s="643"/>
      <c r="K14" s="644">
        <f>SUMIF(Sites!$A:$A,$A14,Sites!$AG:$AG)</f>
        <v>12195425</v>
      </c>
      <c r="L14" s="656"/>
      <c r="M14" s="644">
        <f>IF($M$52=1,AM14,0)</f>
        <v>0</v>
      </c>
      <c r="N14" s="656"/>
      <c r="O14" s="644">
        <f>SUM(K14:N14)</f>
        <v>12195425</v>
      </c>
      <c r="P14" s="707"/>
      <c r="Q14" s="644">
        <f t="shared" si="0"/>
        <v>-10073448</v>
      </c>
      <c r="R14" s="657"/>
      <c r="S14" s="644">
        <f>0</f>
        <v>0</v>
      </c>
      <c r="T14" s="657"/>
      <c r="U14" s="644">
        <f t="shared" si="1"/>
        <v>-1623600</v>
      </c>
      <c r="V14" s="657"/>
      <c r="W14" s="644">
        <f>Q14+S14+U14</f>
        <v>-11697048</v>
      </c>
      <c r="X14" s="657"/>
      <c r="Y14" s="644">
        <f>IF($M$52=1,AY14,0)</f>
        <v>0</v>
      </c>
      <c r="Z14" s="657"/>
      <c r="AA14" s="644">
        <v>0</v>
      </c>
      <c r="AB14" s="657"/>
      <c r="AC14" s="644">
        <f>SUM(W14:AA14)</f>
        <v>-11697048</v>
      </c>
      <c r="AD14" s="657"/>
      <c r="AE14" s="644">
        <v>0</v>
      </c>
      <c r="AF14" s="644"/>
      <c r="AG14" s="644">
        <f t="shared" si="3"/>
        <v>-11697048</v>
      </c>
      <c r="AH14" s="644" t="b">
        <f>AI14=(AC14+AK14)</f>
        <v>1</v>
      </c>
      <c r="AI14" s="644">
        <f>SUMIF(Sites!$A:$A,$A14,Sites!$DR:$DR)</f>
        <v>-11697048</v>
      </c>
      <c r="AJ14" s="698"/>
      <c r="AK14" s="644">
        <f>IF(O14+Q14-AO14&gt;0,AO14,0)</f>
        <v>0</v>
      </c>
      <c r="AL14" s="644">
        <f>AC14+AK14</f>
        <v>-11697048</v>
      </c>
      <c r="AM14" s="644">
        <v>0</v>
      </c>
      <c r="AO14" s="644">
        <v>0</v>
      </c>
      <c r="AP14" s="699"/>
      <c r="AQ14" s="644">
        <f t="shared" si="2"/>
        <v>32472000</v>
      </c>
    </row>
    <row r="15" spans="1:45" ht="15">
      <c r="A15" s="637" t="s">
        <v>553</v>
      </c>
      <c r="B15" s="649"/>
      <c r="C15" s="650">
        <f>SUM(C9:C14)</f>
        <v>476017</v>
      </c>
      <c r="D15" s="651"/>
      <c r="E15" s="650">
        <f>SUM(E9:E14)</f>
        <v>571</v>
      </c>
      <c r="F15" s="651"/>
      <c r="G15" s="650">
        <f>SUM(G9:G14)</f>
        <v>0</v>
      </c>
      <c r="H15" s="651"/>
      <c r="I15" s="650">
        <f>SUM(I9:I14)</f>
        <v>0</v>
      </c>
      <c r="J15" s="651"/>
      <c r="K15" s="652">
        <f>SUM(K9:K14)</f>
        <v>43609905</v>
      </c>
      <c r="L15" s="643"/>
      <c r="M15" s="652">
        <f>SUM(M9:M14)</f>
        <v>0</v>
      </c>
      <c r="N15" s="693"/>
      <c r="O15" s="652">
        <f>SUM(O9:O14)</f>
        <v>43609905</v>
      </c>
      <c r="P15" s="663"/>
      <c r="Q15" s="652">
        <f>SUM(Q9:Q14)</f>
        <v>-58100392</v>
      </c>
      <c r="R15" s="707"/>
      <c r="S15" s="652">
        <f>SUM(S9:S14)</f>
        <v>0</v>
      </c>
      <c r="T15" s="707"/>
      <c r="U15" s="652">
        <f>SUM(U9:U14)</f>
        <v>-8003200</v>
      </c>
      <c r="V15" s="707"/>
      <c r="W15" s="652">
        <f>SUM(W9:W14)</f>
        <v>-66103592</v>
      </c>
      <c r="X15" s="707"/>
      <c r="Y15" s="652">
        <f>SUM(Y9:Y14)</f>
        <v>0</v>
      </c>
      <c r="Z15" s="707"/>
      <c r="AA15" s="652">
        <f>SUM(AA9:AA14)</f>
        <v>0</v>
      </c>
      <c r="AB15" s="707"/>
      <c r="AC15" s="652">
        <f>SUM(AC9:AC14)</f>
        <v>-66103592</v>
      </c>
      <c r="AD15" s="707"/>
      <c r="AE15" s="652">
        <f>SUM(AE9:AE14)</f>
        <v>0</v>
      </c>
      <c r="AF15" s="644"/>
      <c r="AG15" s="652">
        <f>SUM(AG9:AG14)</f>
        <v>-66103592</v>
      </c>
      <c r="AJ15" s="637"/>
      <c r="AM15" s="652">
        <v>0</v>
      </c>
      <c r="AO15" s="652">
        <v>0</v>
      </c>
      <c r="AQ15" s="652">
        <f>SUM(AQ9:AQ14)</f>
        <v>187288000</v>
      </c>
    </row>
    <row r="16" spans="1:45" ht="6" customHeight="1">
      <c r="A16" s="641"/>
      <c r="B16" s="642"/>
      <c r="C16" s="643"/>
      <c r="D16" s="643"/>
      <c r="E16" s="643"/>
      <c r="F16" s="643"/>
      <c r="G16" s="643"/>
      <c r="H16" s="643"/>
      <c r="I16" s="643"/>
      <c r="J16" s="643"/>
      <c r="K16" s="644"/>
      <c r="L16" s="645"/>
      <c r="M16" s="644"/>
      <c r="N16" s="645"/>
      <c r="O16" s="644"/>
      <c r="P16" s="707"/>
      <c r="Q16" s="644"/>
      <c r="R16" s="707"/>
      <c r="S16" s="644"/>
      <c r="T16" s="657"/>
      <c r="U16" s="657"/>
      <c r="V16" s="707"/>
      <c r="W16" s="644"/>
      <c r="X16" s="707"/>
      <c r="Y16" s="644"/>
      <c r="Z16" s="707"/>
      <c r="AA16" s="644"/>
      <c r="AB16" s="657"/>
      <c r="AC16" s="657"/>
      <c r="AD16" s="707"/>
      <c r="AE16" s="657"/>
      <c r="AF16" s="644"/>
      <c r="AG16" s="644">
        <f t="shared" ref="AG16:AG29" si="10">AC16+AE16</f>
        <v>0</v>
      </c>
      <c r="AJ16" s="641"/>
      <c r="AQ16" s="692"/>
    </row>
    <row r="17" spans="1:44" ht="15">
      <c r="A17" s="695" t="s">
        <v>493</v>
      </c>
      <c r="C17" s="646"/>
      <c r="E17" s="646"/>
      <c r="F17" s="646"/>
      <c r="G17" s="646"/>
      <c r="H17" s="638"/>
      <c r="I17" s="646"/>
      <c r="J17" s="638"/>
      <c r="K17" s="656"/>
      <c r="L17" s="643"/>
      <c r="M17" s="638"/>
      <c r="N17" s="643"/>
      <c r="O17" s="657"/>
      <c r="P17" s="657"/>
      <c r="Q17" s="657"/>
      <c r="R17" s="707"/>
      <c r="S17" s="657"/>
      <c r="T17" s="707"/>
      <c r="U17" s="657"/>
      <c r="V17" s="707"/>
      <c r="W17" s="657"/>
      <c r="X17" s="707"/>
      <c r="Y17" s="657"/>
      <c r="Z17" s="707"/>
      <c r="AA17" s="657"/>
      <c r="AB17" s="707"/>
      <c r="AC17" s="770"/>
      <c r="AD17" s="707"/>
      <c r="AE17" s="770"/>
      <c r="AF17" s="644"/>
      <c r="AG17" s="644">
        <f t="shared" si="10"/>
        <v>0</v>
      </c>
      <c r="AH17" s="697"/>
      <c r="AI17" s="697"/>
      <c r="AJ17" s="696"/>
      <c r="AK17" s="697"/>
      <c r="AL17" s="697"/>
      <c r="AM17" s="638"/>
      <c r="AO17" s="638"/>
      <c r="AQ17" s="692"/>
    </row>
    <row r="18" spans="1:44">
      <c r="A18" s="709" t="str">
        <f>Sites!A10</f>
        <v xml:space="preserve">27th &amp; Foothill </v>
      </c>
      <c r="C18" s="646">
        <f>SUMIF(Sites!$A:$A,$A18,Sites!$I:$I)</f>
        <v>22581</v>
      </c>
      <c r="D18" s="642"/>
      <c r="E18" s="646">
        <f>SUMIF(Sites!$A:$A,$A18,Sites!$EI:$EI)</f>
        <v>8</v>
      </c>
      <c r="F18" s="643"/>
      <c r="G18" s="646">
        <f>SUMIF(Sites!$A:$A,$A18,Sites!$EJ:$EJ)</f>
        <v>43</v>
      </c>
      <c r="H18" s="643"/>
      <c r="I18" s="643">
        <v>0</v>
      </c>
      <c r="J18" s="643"/>
      <c r="K18" s="644">
        <f>SUMIF(Sites!$A:$A,$A18,Sites!$AG:$AG)</f>
        <v>1016145</v>
      </c>
      <c r="L18" s="643"/>
      <c r="M18" s="644">
        <f t="shared" ref="M18:M29" si="11">IF($M$52=1,AM18,0)</f>
        <v>516000</v>
      </c>
      <c r="N18" s="643"/>
      <c r="O18" s="644">
        <f>SUM(K18:N18)</f>
        <v>1532145</v>
      </c>
      <c r="P18" s="707"/>
      <c r="Q18" s="644">
        <f t="shared" ref="Q18:Q19" si="12">-C$43*E18</f>
        <v>-1796531.1999999997</v>
      </c>
      <c r="R18" s="707"/>
      <c r="S18" s="644">
        <f>0</f>
        <v>0</v>
      </c>
      <c r="T18" s="707"/>
      <c r="U18" s="644">
        <f t="shared" ref="U18:U29" si="13">-IF(E18+G18&gt;$AQ$6,$C$47*AQ18,0)</f>
        <v>0</v>
      </c>
      <c r="V18" s="707"/>
      <c r="W18" s="644">
        <f>O18+Q18+S18+U18</f>
        <v>-264386.19999999972</v>
      </c>
      <c r="X18" s="707"/>
      <c r="Y18" s="644">
        <f t="shared" ref="Y18:Y29" si="14">IF($M$52=1,AY18,0)</f>
        <v>0</v>
      </c>
      <c r="Z18" s="707"/>
      <c r="AA18" s="644">
        <v>0</v>
      </c>
      <c r="AB18" s="707"/>
      <c r="AC18" s="644">
        <f>SUM(W18:AA18)</f>
        <v>-264386.19999999972</v>
      </c>
      <c r="AD18" s="707"/>
      <c r="AE18" s="644">
        <v>0</v>
      </c>
      <c r="AF18" s="644"/>
      <c r="AG18" s="644">
        <f>AC18+AE18</f>
        <v>-264386.19999999972</v>
      </c>
      <c r="AH18" s="644" t="b">
        <f>AI18=(AC18+AK18)</f>
        <v>1</v>
      </c>
      <c r="AI18" s="644">
        <f>SUMIF(Sites!$A:$A,$A18,Sites!$EZ:$EZ)</f>
        <v>-264386.19999999972</v>
      </c>
      <c r="AJ18" s="641"/>
      <c r="AK18" s="644">
        <f>IF(O18+Q18-AO18&gt;0,AO18,0)</f>
        <v>0</v>
      </c>
      <c r="AL18" s="644">
        <f>AC18+AK18</f>
        <v>-264386.19999999972</v>
      </c>
      <c r="AM18" s="644">
        <f>SUMIF(Sites!$A:$A,$A18,Sites!$EM:$EM)</f>
        <v>516000</v>
      </c>
      <c r="AO18" s="644">
        <f t="shared" ref="AO18:AO29" si="15">(AO$1-AM$1)*SUM($E18:$G18)*$C$42</f>
        <v>1297338</v>
      </c>
      <c r="AP18" s="699"/>
      <c r="AQ18" s="644">
        <f t="shared" ref="AQ18:AQ29" si="16">(E18+G18)*$C$45</f>
        <v>16728000</v>
      </c>
      <c r="AR18" s="647">
        <f>AC18+AK18</f>
        <v>-264386.19999999972</v>
      </c>
    </row>
    <row r="19" spans="1:44">
      <c r="A19" s="709" t="str">
        <f>Sites!A11</f>
        <v xml:space="preserve">36th &amp; Foothill </v>
      </c>
      <c r="C19" s="646">
        <f>SUMIF(Sites!$A:$A,$A19,Sites!$I:$I)</f>
        <v>34164</v>
      </c>
      <c r="D19" s="642"/>
      <c r="E19" s="646">
        <f>SUMIF(Sites!$A:$A,$A19,Sites!$EI:$EI)</f>
        <v>11</v>
      </c>
      <c r="F19" s="643"/>
      <c r="G19" s="646">
        <f>SUMIF(Sites!$A:$A,$A19,Sites!$EJ:$EJ)</f>
        <v>65</v>
      </c>
      <c r="H19" s="643"/>
      <c r="I19" s="643">
        <v>0</v>
      </c>
      <c r="J19" s="643"/>
      <c r="K19" s="644">
        <f>SUMIF(Sites!$A:$A,$A19,Sites!$AG:$AG)</f>
        <v>1537380</v>
      </c>
      <c r="L19" s="643"/>
      <c r="M19" s="644">
        <f t="shared" si="11"/>
        <v>780000</v>
      </c>
      <c r="N19" s="643"/>
      <c r="O19" s="644">
        <f>SUM(K19:N19)</f>
        <v>2317380</v>
      </c>
      <c r="P19" s="707"/>
      <c r="Q19" s="644">
        <f t="shared" si="12"/>
        <v>-2470230.3999999994</v>
      </c>
      <c r="R19" s="707"/>
      <c r="S19" s="644">
        <f>0</f>
        <v>0</v>
      </c>
      <c r="T19" s="707"/>
      <c r="U19" s="644">
        <f t="shared" si="13"/>
        <v>0</v>
      </c>
      <c r="V19" s="707"/>
      <c r="W19" s="644">
        <f>O19+Q19+S19+U19</f>
        <v>-152850.39999999944</v>
      </c>
      <c r="X19" s="707"/>
      <c r="Y19" s="644">
        <f t="shared" si="14"/>
        <v>0</v>
      </c>
      <c r="Z19" s="707"/>
      <c r="AA19" s="644">
        <v>0</v>
      </c>
      <c r="AB19" s="707"/>
      <c r="AC19" s="644">
        <f>SUM(W19:AA19)</f>
        <v>-152850.39999999944</v>
      </c>
      <c r="AD19" s="707"/>
      <c r="AE19" s="644">
        <v>0</v>
      </c>
      <c r="AF19" s="644"/>
      <c r="AG19" s="644">
        <f>AC19+AE19</f>
        <v>-152850.39999999944</v>
      </c>
      <c r="AH19" s="644" t="b">
        <f>AI19=(AC19+AK19)</f>
        <v>1</v>
      </c>
      <c r="AI19" s="644">
        <f>SUMIF(Sites!$A:$A,$A19,Sites!$EZ:$EZ)</f>
        <v>-152850.39999999944</v>
      </c>
      <c r="AJ19" s="641"/>
      <c r="AK19" s="644">
        <f>IF(O19+Q19-AO19&gt;0,AO19,0)</f>
        <v>0</v>
      </c>
      <c r="AL19" s="644">
        <f>AC19+AK19</f>
        <v>-152850.39999999944</v>
      </c>
      <c r="AM19" s="644">
        <f>SUMIF(Sites!$A:$A,$A19,Sites!$EM:$EM)</f>
        <v>780000</v>
      </c>
      <c r="AO19" s="644">
        <f t="shared" si="15"/>
        <v>1933288</v>
      </c>
      <c r="AP19" s="699"/>
      <c r="AQ19" s="644">
        <f t="shared" si="16"/>
        <v>24928000</v>
      </c>
      <c r="AR19" s="647">
        <f>AC19+AK19</f>
        <v>-152850.39999999944</v>
      </c>
    </row>
    <row r="20" spans="1:44">
      <c r="A20" s="709" t="str">
        <f>Sites!A6</f>
        <v>Rotunda Garage Remainder</v>
      </c>
      <c r="C20" s="646">
        <f>SUMIF(Sites!$A:$A,$A20,Sites!$I:$I)</f>
        <v>6697</v>
      </c>
      <c r="D20" s="642"/>
      <c r="E20" s="646">
        <f>SUMIF(Sites!$A:$A,$A20,Sites!$EI:$EI)</f>
        <v>4</v>
      </c>
      <c r="F20" s="643"/>
      <c r="G20" s="646">
        <f>SUMIF(Sites!$A:$A,$A20,Sites!$EJ:$EJ)</f>
        <v>21</v>
      </c>
      <c r="H20" s="643"/>
      <c r="I20" s="643">
        <v>0</v>
      </c>
      <c r="J20" s="643"/>
      <c r="K20" s="644">
        <f>SUMIF(Sites!$A:$A,$A20,Sites!$AG:$AG)</f>
        <v>1339400</v>
      </c>
      <c r="L20" s="645"/>
      <c r="M20" s="644">
        <f t="shared" si="11"/>
        <v>462000</v>
      </c>
      <c r="N20" s="645"/>
      <c r="O20" s="644">
        <f>SUM(K20:N20)</f>
        <v>1801400</v>
      </c>
      <c r="P20" s="707"/>
      <c r="Q20" s="644">
        <f>-C$43*E20</f>
        <v>-898265.59999999986</v>
      </c>
      <c r="R20" s="707"/>
      <c r="S20" s="644">
        <f t="shared" ref="S20:S29" si="17">-IF(E20+G20&gt;$AQ$6,$C$46*AQ20,0)</f>
        <v>0</v>
      </c>
      <c r="T20" s="707"/>
      <c r="U20" s="644">
        <f t="shared" si="13"/>
        <v>0</v>
      </c>
      <c r="V20" s="707"/>
      <c r="W20" s="644">
        <f>IF(O20+Q20+S20+U20-AO20&gt;0,(O20+Q20+S20+U20-AO20)*$C$44,0)</f>
        <v>267184.40000000014</v>
      </c>
      <c r="X20" s="707"/>
      <c r="Y20" s="644">
        <f t="shared" si="14"/>
        <v>0</v>
      </c>
      <c r="Z20" s="707"/>
      <c r="AA20" s="644">
        <f>IF(O20+Q20-AO20&gt;0,AO20,O20+Q20+S20+U20)</f>
        <v>635950</v>
      </c>
      <c r="AB20" s="707"/>
      <c r="AC20" s="644">
        <f>SUM(W20:AA20)</f>
        <v>903134.40000000014</v>
      </c>
      <c r="AD20" s="707"/>
      <c r="AE20" s="644">
        <v>0</v>
      </c>
      <c r="AF20" s="644"/>
      <c r="AG20" s="644">
        <f>AC20+AE20</f>
        <v>903134.40000000014</v>
      </c>
      <c r="AH20" s="644" t="b">
        <f>AC20=AI20</f>
        <v>1</v>
      </c>
      <c r="AI20" s="644">
        <f>SUMIF(Sites!$A:$A,$A20,Sites!$EZ:$EZ)</f>
        <v>903134.40000000014</v>
      </c>
      <c r="AJ20" s="641"/>
      <c r="AL20" s="647">
        <f>AC20+AA20</f>
        <v>1539084.4000000001</v>
      </c>
      <c r="AM20" s="644">
        <f>SUMIF(Sites!$A:$A,$A20,Sites!$EM:$EM)</f>
        <v>462000</v>
      </c>
      <c r="AO20" s="644">
        <f t="shared" si="15"/>
        <v>635950</v>
      </c>
      <c r="AP20" s="699"/>
      <c r="AQ20" s="644">
        <f t="shared" si="16"/>
        <v>8200000</v>
      </c>
      <c r="AR20" s="647">
        <f>AC20+AA20</f>
        <v>1539084.4000000001</v>
      </c>
    </row>
    <row r="21" spans="1:44">
      <c r="A21" s="709" t="str">
        <f>Sites!A7</f>
        <v>MLK Sites</v>
      </c>
      <c r="C21" s="646">
        <f>SUMIF(Sites!$A:$A,$A21,Sites!$I:$I)</f>
        <v>9125</v>
      </c>
      <c r="D21" s="642"/>
      <c r="E21" s="646">
        <f>SUMIF(Sites!$A:$A,$A21,Sites!$EI:$EI)</f>
        <v>3</v>
      </c>
      <c r="F21" s="643"/>
      <c r="G21" s="646">
        <f>SUMIF(Sites!$A:$A,$A21,Sites!$EJ:$EJ)</f>
        <v>18</v>
      </c>
      <c r="H21" s="643"/>
      <c r="I21" s="643">
        <v>0</v>
      </c>
      <c r="J21" s="643"/>
      <c r="K21" s="644">
        <f>SUMIF(Sites!$A:$A,$A21,Sites!$AG:$AG)</f>
        <v>1095000</v>
      </c>
      <c r="L21" s="645"/>
      <c r="M21" s="644">
        <f t="shared" si="11"/>
        <v>319500</v>
      </c>
      <c r="N21" s="645"/>
      <c r="O21" s="644">
        <f t="shared" ref="O21:O28" si="18">SUM(K21:N21)</f>
        <v>1414500</v>
      </c>
      <c r="P21" s="707"/>
      <c r="Q21" s="644">
        <f t="shared" ref="Q21:Q29" si="19">-C$43*E21</f>
        <v>-673699.2</v>
      </c>
      <c r="R21" s="707"/>
      <c r="S21" s="644">
        <f t="shared" si="17"/>
        <v>0</v>
      </c>
      <c r="T21" s="707"/>
      <c r="U21" s="644">
        <f t="shared" si="13"/>
        <v>0</v>
      </c>
      <c r="V21" s="707"/>
      <c r="W21" s="644">
        <f>(O21+Q21+S21+U21-AO21)*1</f>
        <v>206602.80000000005</v>
      </c>
      <c r="X21" s="707"/>
      <c r="Y21" s="644">
        <f t="shared" si="14"/>
        <v>0</v>
      </c>
      <c r="Z21" s="707"/>
      <c r="AA21" s="644">
        <f t="shared" ref="AA21:AA29" si="20">IF(O21+Q21-AO21&gt;0,AO21,O21+Q21+S21+U21)</f>
        <v>534198</v>
      </c>
      <c r="AB21" s="707"/>
      <c r="AC21" s="644">
        <f t="shared" ref="AC21:AC29" si="21">SUM(W21:AA21)</f>
        <v>740800.8</v>
      </c>
      <c r="AD21" s="707"/>
      <c r="AE21" s="644">
        <v>0</v>
      </c>
      <c r="AF21" s="644"/>
      <c r="AG21" s="644">
        <f t="shared" si="10"/>
        <v>740800.8</v>
      </c>
      <c r="AH21" s="644" t="b">
        <f t="shared" ref="AH21:AH29" si="22">AC21=AI21</f>
        <v>1</v>
      </c>
      <c r="AI21" s="644">
        <f>SUMIF(Sites!$A:$A,$A21,Sites!$EZ:$EZ)</f>
        <v>740800.8</v>
      </c>
      <c r="AJ21" s="641"/>
      <c r="AL21" s="647">
        <f t="shared" ref="AL21:AL29" si="23">AC21+AA21</f>
        <v>1274998.8</v>
      </c>
      <c r="AM21" s="644">
        <f>SUMIF(Sites!$A:$A,$A21,Sites!$EM:$EM)</f>
        <v>319500</v>
      </c>
      <c r="AO21" s="644">
        <f t="shared" si="15"/>
        <v>534198</v>
      </c>
      <c r="AP21" s="699"/>
      <c r="AQ21" s="644">
        <f t="shared" si="16"/>
        <v>6888000</v>
      </c>
      <c r="AR21" s="647">
        <f t="shared" ref="AR21:AR29" si="24">AC21+AA21</f>
        <v>1274998.8</v>
      </c>
    </row>
    <row r="22" spans="1:44">
      <c r="A22" s="709" t="str">
        <f>Sites!A9</f>
        <v>Miller Library Site</v>
      </c>
      <c r="C22" s="646">
        <f>SUMIF(Sites!$A:$A,$A22,Sites!$I:$I)</f>
        <v>11969</v>
      </c>
      <c r="D22" s="642"/>
      <c r="E22" s="646">
        <f>SUMIF(Sites!$A:$A,$A22,Sites!$EI:$EI)</f>
        <v>1</v>
      </c>
      <c r="F22" s="643"/>
      <c r="G22" s="646">
        <f>SUMIF(Sites!$A:$A,$A22,Sites!$EJ:$EJ)</f>
        <v>8</v>
      </c>
      <c r="H22" s="643"/>
      <c r="I22" s="643">
        <v>0</v>
      </c>
      <c r="J22" s="643"/>
      <c r="K22" s="644">
        <f>SUMIF(Sites!$A:$A,$A22,Sites!$AG:$AG)</f>
        <v>1077210</v>
      </c>
      <c r="L22" s="656"/>
      <c r="M22" s="644">
        <f t="shared" si="11"/>
        <v>96000</v>
      </c>
      <c r="N22" s="656"/>
      <c r="O22" s="644">
        <f t="shared" si="18"/>
        <v>1173210</v>
      </c>
      <c r="P22" s="707"/>
      <c r="Q22" s="644">
        <f t="shared" si="19"/>
        <v>-224566.39999999997</v>
      </c>
      <c r="R22" s="657"/>
      <c r="S22" s="644">
        <f t="shared" si="17"/>
        <v>0</v>
      </c>
      <c r="T22" s="657"/>
      <c r="U22" s="644">
        <f t="shared" si="13"/>
        <v>0</v>
      </c>
      <c r="V22" s="657"/>
      <c r="W22" s="644">
        <f t="shared" ref="W22:W29" si="25">IF(O22+Q22+S22+U22-AO22&gt;0,(O22+Q22+S22+U22-AO22)*$C$44,0)</f>
        <v>719701.60000000009</v>
      </c>
      <c r="X22" s="657"/>
      <c r="Y22" s="644">
        <f t="shared" si="14"/>
        <v>0</v>
      </c>
      <c r="Z22" s="657"/>
      <c r="AA22" s="644">
        <f t="shared" si="20"/>
        <v>228942</v>
      </c>
      <c r="AB22" s="657"/>
      <c r="AC22" s="644">
        <f t="shared" si="21"/>
        <v>948643.60000000009</v>
      </c>
      <c r="AD22" s="657"/>
      <c r="AE22" s="644">
        <v>0</v>
      </c>
      <c r="AF22" s="644"/>
      <c r="AG22" s="644">
        <f t="shared" si="10"/>
        <v>948643.60000000009</v>
      </c>
      <c r="AH22" s="644" t="b">
        <f t="shared" si="22"/>
        <v>1</v>
      </c>
      <c r="AI22" s="644">
        <f>SUMIF(Sites!$A:$A,$A22,Sites!$EZ:$EZ)</f>
        <v>948643.60000000009</v>
      </c>
      <c r="AJ22" s="641"/>
      <c r="AL22" s="647">
        <f t="shared" si="23"/>
        <v>1177585.6000000001</v>
      </c>
      <c r="AM22" s="644">
        <f>SUMIF(Sites!$A:$A,$A22,Sites!$EM:$EM)</f>
        <v>96000</v>
      </c>
      <c r="AO22" s="644">
        <f t="shared" si="15"/>
        <v>228942</v>
      </c>
      <c r="AP22" s="699"/>
      <c r="AQ22" s="644">
        <f t="shared" si="16"/>
        <v>2952000</v>
      </c>
      <c r="AR22" s="647">
        <f t="shared" si="24"/>
        <v>1177585.6000000001</v>
      </c>
    </row>
    <row r="23" spans="1:44" ht="15">
      <c r="A23" s="709" t="str">
        <f>Sites!A12</f>
        <v>73rd &amp; International</v>
      </c>
      <c r="C23" s="646">
        <f>SUMIF(Sites!$A:$A,$A23,Sites!$I:$I)</f>
        <v>5435</v>
      </c>
      <c r="D23" s="642"/>
      <c r="E23" s="646">
        <f>SUMIF(Sites!$A:$A,$A23,Sites!$EI:$EI)</f>
        <v>2</v>
      </c>
      <c r="F23" s="643"/>
      <c r="G23" s="646">
        <f>SUMIF(Sites!$A:$A,$A23,Sites!$EJ:$EJ)</f>
        <v>11</v>
      </c>
      <c r="H23" s="643"/>
      <c r="I23" s="643">
        <v>0</v>
      </c>
      <c r="J23" s="643"/>
      <c r="K23" s="644">
        <f>SUMIF(Sites!$A:$A,$A23,Sites!$AG:$AG)</f>
        <v>407625</v>
      </c>
      <c r="L23" s="707"/>
      <c r="M23" s="644">
        <f t="shared" si="11"/>
        <v>132000</v>
      </c>
      <c r="N23" s="707"/>
      <c r="O23" s="644">
        <f t="shared" si="18"/>
        <v>539625</v>
      </c>
      <c r="P23" s="707"/>
      <c r="Q23" s="644">
        <f t="shared" si="19"/>
        <v>-449132.79999999993</v>
      </c>
      <c r="R23" s="707"/>
      <c r="S23" s="644">
        <f t="shared" si="17"/>
        <v>0</v>
      </c>
      <c r="T23" s="707"/>
      <c r="U23" s="644">
        <f t="shared" si="13"/>
        <v>0</v>
      </c>
      <c r="V23" s="707"/>
      <c r="W23" s="644">
        <f t="shared" si="25"/>
        <v>0</v>
      </c>
      <c r="X23" s="707"/>
      <c r="Y23" s="644">
        <f t="shared" si="14"/>
        <v>0</v>
      </c>
      <c r="Z23" s="707"/>
      <c r="AA23" s="644">
        <f t="shared" si="20"/>
        <v>90492.20000000007</v>
      </c>
      <c r="AB23" s="707"/>
      <c r="AC23" s="644">
        <f t="shared" si="21"/>
        <v>90492.20000000007</v>
      </c>
      <c r="AD23" s="707"/>
      <c r="AE23" s="644">
        <v>0</v>
      </c>
      <c r="AF23" s="663"/>
      <c r="AG23" s="644">
        <f t="shared" si="10"/>
        <v>90492.20000000007</v>
      </c>
      <c r="AH23" s="644" t="b">
        <f t="shared" si="22"/>
        <v>1</v>
      </c>
      <c r="AI23" s="644">
        <f>SUMIF(Sites!$A:$A,$A23,Sites!$EZ:$EZ)</f>
        <v>90492.20000000007</v>
      </c>
      <c r="AJ23" s="641"/>
      <c r="AL23" s="647">
        <f t="shared" si="23"/>
        <v>180984.40000000014</v>
      </c>
      <c r="AM23" s="644">
        <f>SUMIF(Sites!$A:$A,$A23,Sites!$EM:$EM)</f>
        <v>132000</v>
      </c>
      <c r="AO23" s="647">
        <f t="shared" si="15"/>
        <v>330694</v>
      </c>
      <c r="AP23" s="699"/>
      <c r="AQ23" s="644">
        <f t="shared" si="16"/>
        <v>4264000</v>
      </c>
      <c r="AR23" s="647">
        <f t="shared" si="24"/>
        <v>180984.40000000014</v>
      </c>
    </row>
    <row r="24" spans="1:44" ht="15">
      <c r="A24" s="709" t="str">
        <f>Sites!A13</f>
        <v xml:space="preserve">Clara &amp; Edes </v>
      </c>
      <c r="C24" s="646">
        <f>SUMIF(Sites!$A:$A,$A24,Sites!$I:$I)</f>
        <v>26311</v>
      </c>
      <c r="D24" s="642"/>
      <c r="E24" s="646">
        <f>SUMIF(Sites!$A:$A,$A24,Sites!$EI:$EI)</f>
        <v>5</v>
      </c>
      <c r="F24" s="643"/>
      <c r="G24" s="646">
        <f>SUMIF(Sites!$A:$A,$A24,Sites!$EJ:$EJ)</f>
        <v>25</v>
      </c>
      <c r="H24" s="643"/>
      <c r="I24" s="643">
        <v>0</v>
      </c>
      <c r="J24" s="643"/>
      <c r="K24" s="644">
        <f>SUMIF(Sites!$A:$A,$A24,Sites!$AG:$AG)</f>
        <v>1052440</v>
      </c>
      <c r="L24" s="662"/>
      <c r="M24" s="644">
        <f t="shared" si="11"/>
        <v>300000</v>
      </c>
      <c r="N24" s="662"/>
      <c r="O24" s="644">
        <f t="shared" si="18"/>
        <v>1352440</v>
      </c>
      <c r="P24" s="707"/>
      <c r="Q24" s="644">
        <f t="shared" si="19"/>
        <v>-1122831.9999999998</v>
      </c>
      <c r="R24" s="663"/>
      <c r="S24" s="644">
        <f t="shared" si="17"/>
        <v>0</v>
      </c>
      <c r="T24" s="663"/>
      <c r="U24" s="644">
        <f t="shared" si="13"/>
        <v>0</v>
      </c>
      <c r="V24" s="663"/>
      <c r="W24" s="644">
        <f t="shared" si="25"/>
        <v>0</v>
      </c>
      <c r="X24" s="663"/>
      <c r="Y24" s="644">
        <f t="shared" si="14"/>
        <v>0</v>
      </c>
      <c r="Z24" s="663"/>
      <c r="AA24" s="644">
        <f t="shared" si="20"/>
        <v>229608.00000000023</v>
      </c>
      <c r="AB24" s="663"/>
      <c r="AC24" s="644">
        <f t="shared" si="21"/>
        <v>229608.00000000023</v>
      </c>
      <c r="AD24" s="663"/>
      <c r="AE24" s="644">
        <v>0</v>
      </c>
      <c r="AF24" s="657"/>
      <c r="AG24" s="644">
        <f t="shared" si="10"/>
        <v>229608.00000000023</v>
      </c>
      <c r="AH24" s="644" t="b">
        <f t="shared" si="22"/>
        <v>1</v>
      </c>
      <c r="AI24" s="644">
        <f>SUMIF(Sites!$A:$A,$A24,Sites!$EZ:$EZ)</f>
        <v>229608.00000000023</v>
      </c>
      <c r="AJ24" s="641"/>
      <c r="AL24" s="647">
        <f t="shared" si="23"/>
        <v>459216.00000000047</v>
      </c>
      <c r="AM24" s="644">
        <f>SUMIF(Sites!$A:$A,$A24,Sites!$EM:$EM)</f>
        <v>300000</v>
      </c>
      <c r="AO24" s="644">
        <f t="shared" si="15"/>
        <v>763140</v>
      </c>
      <c r="AP24" s="699"/>
      <c r="AQ24" s="644">
        <f t="shared" si="16"/>
        <v>9840000</v>
      </c>
      <c r="AR24" s="647">
        <f t="shared" si="24"/>
        <v>459216.00000000047</v>
      </c>
    </row>
    <row r="25" spans="1:44" ht="15">
      <c r="A25" s="709" t="str">
        <f>Sites!A14</f>
        <v>Golf Links Road</v>
      </c>
      <c r="C25" s="646">
        <f>SUMIF(Sites!$A:$A,$A25,Sites!$I:$I)</f>
        <v>32038</v>
      </c>
      <c r="D25" s="642"/>
      <c r="E25" s="646">
        <f>SUMIF(Sites!$A:$A,$A25,Sites!$EI:$EI)</f>
        <v>6</v>
      </c>
      <c r="F25" s="643"/>
      <c r="G25" s="646">
        <f>SUMIF(Sites!$A:$A,$A25,Sites!$EJ:$EJ)</f>
        <v>34</v>
      </c>
      <c r="H25" s="643"/>
      <c r="I25" s="643">
        <v>0</v>
      </c>
      <c r="J25" s="643"/>
      <c r="K25" s="644">
        <f>SUMIF(Sites!$A:$A,$A25,Sites!$AG:$AG)</f>
        <v>1281520</v>
      </c>
      <c r="L25" s="654"/>
      <c r="M25" s="644">
        <f t="shared" si="11"/>
        <v>408000</v>
      </c>
      <c r="N25" s="654"/>
      <c r="O25" s="644">
        <f t="shared" si="18"/>
        <v>1689520</v>
      </c>
      <c r="P25" s="707"/>
      <c r="Q25" s="644">
        <f t="shared" si="19"/>
        <v>-1347398.4</v>
      </c>
      <c r="R25" s="768"/>
      <c r="S25" s="644">
        <f t="shared" si="17"/>
        <v>0</v>
      </c>
      <c r="T25" s="768"/>
      <c r="U25" s="644">
        <f t="shared" si="13"/>
        <v>0</v>
      </c>
      <c r="V25" s="768"/>
      <c r="W25" s="644">
        <f t="shared" si="25"/>
        <v>0</v>
      </c>
      <c r="X25" s="768"/>
      <c r="Y25" s="644">
        <f t="shared" si="14"/>
        <v>0</v>
      </c>
      <c r="Z25" s="768"/>
      <c r="AA25" s="644">
        <f t="shared" si="20"/>
        <v>342121.60000000009</v>
      </c>
      <c r="AB25" s="768"/>
      <c r="AC25" s="644">
        <f t="shared" si="21"/>
        <v>342121.60000000009</v>
      </c>
      <c r="AD25" s="768"/>
      <c r="AE25" s="644">
        <v>0</v>
      </c>
      <c r="AF25" s="657"/>
      <c r="AG25" s="644">
        <f t="shared" si="10"/>
        <v>342121.60000000009</v>
      </c>
      <c r="AH25" s="644" t="b">
        <f t="shared" si="22"/>
        <v>1</v>
      </c>
      <c r="AI25" s="644">
        <f>SUMIF(Sites!$A:$A,$A25,Sites!$EZ:$EZ)</f>
        <v>342121.60000000009</v>
      </c>
      <c r="AJ25" s="641"/>
      <c r="AL25" s="647">
        <f t="shared" si="23"/>
        <v>684243.20000000019</v>
      </c>
      <c r="AM25" s="644">
        <f>SUMIF(Sites!$A:$A,$A25,Sites!$EM:$EM)</f>
        <v>408000</v>
      </c>
      <c r="AO25" s="644">
        <f t="shared" si="15"/>
        <v>1017520</v>
      </c>
      <c r="AP25" s="699"/>
      <c r="AQ25" s="644">
        <f t="shared" si="16"/>
        <v>13120000</v>
      </c>
      <c r="AR25" s="647">
        <f t="shared" si="24"/>
        <v>684243.20000000019</v>
      </c>
    </row>
    <row r="26" spans="1:44">
      <c r="A26" s="709" t="str">
        <f>Sites!A16</f>
        <v>98th &amp; Stearns</v>
      </c>
      <c r="C26" s="646">
        <f>SUMIF(Sites!$A:$A,$A26,Sites!$I:$I)</f>
        <v>20614</v>
      </c>
      <c r="D26" s="642"/>
      <c r="E26" s="646">
        <f>SUMIF(Sites!$A:$A,$A26,Sites!$EI:$EI)</f>
        <v>1</v>
      </c>
      <c r="F26" s="643"/>
      <c r="G26" s="646">
        <f>SUMIF(Sites!$A:$A,$A26,Sites!$EJ:$EJ)</f>
        <v>5</v>
      </c>
      <c r="H26" s="643"/>
      <c r="I26" s="643">
        <v>0</v>
      </c>
      <c r="J26" s="643"/>
      <c r="K26" s="644">
        <f>SUMIF(Sites!$A:$A,$A26,Sites!$AG:$AG)</f>
        <v>1855260</v>
      </c>
      <c r="L26" s="645"/>
      <c r="M26" s="644">
        <f t="shared" si="11"/>
        <v>60000</v>
      </c>
      <c r="N26" s="645"/>
      <c r="O26" s="644">
        <f t="shared" si="18"/>
        <v>1915260</v>
      </c>
      <c r="P26" s="707"/>
      <c r="Q26" s="644">
        <f t="shared" si="19"/>
        <v>-224566.39999999997</v>
      </c>
      <c r="R26" s="707"/>
      <c r="S26" s="644">
        <f t="shared" si="17"/>
        <v>0</v>
      </c>
      <c r="T26" s="707"/>
      <c r="U26" s="644">
        <f t="shared" si="13"/>
        <v>0</v>
      </c>
      <c r="V26" s="707"/>
      <c r="W26" s="644">
        <f t="shared" si="25"/>
        <v>1538065.6</v>
      </c>
      <c r="X26" s="707"/>
      <c r="Y26" s="644">
        <f t="shared" si="14"/>
        <v>0</v>
      </c>
      <c r="Z26" s="707"/>
      <c r="AA26" s="644">
        <f t="shared" si="20"/>
        <v>152628</v>
      </c>
      <c r="AB26" s="707"/>
      <c r="AC26" s="644">
        <f t="shared" si="21"/>
        <v>1690693.6</v>
      </c>
      <c r="AD26" s="707"/>
      <c r="AE26" s="644">
        <v>0</v>
      </c>
      <c r="AF26" s="644"/>
      <c r="AG26" s="644">
        <f t="shared" si="10"/>
        <v>1690693.6</v>
      </c>
      <c r="AH26" s="644" t="b">
        <f t="shared" si="22"/>
        <v>1</v>
      </c>
      <c r="AI26" s="644">
        <f>SUMIF(Sites!$A:$A,$A26,Sites!$EZ:$EZ)</f>
        <v>1690693.6</v>
      </c>
      <c r="AJ26" s="641"/>
      <c r="AL26" s="647">
        <f t="shared" si="23"/>
        <v>1843321.6</v>
      </c>
      <c r="AM26" s="644">
        <f>SUMIF(Sites!$A:$A,$A26,Sites!$EM:$EM)</f>
        <v>60000</v>
      </c>
      <c r="AO26" s="644">
        <f t="shared" si="15"/>
        <v>152628</v>
      </c>
      <c r="AP26" s="699"/>
      <c r="AQ26" s="644">
        <f t="shared" si="16"/>
        <v>1968000</v>
      </c>
      <c r="AR26" s="647">
        <f t="shared" si="24"/>
        <v>1843321.6</v>
      </c>
    </row>
    <row r="27" spans="1:44" ht="15">
      <c r="A27" s="709" t="str">
        <f>Sites!A22</f>
        <v>Clay St Garage</v>
      </c>
      <c r="C27" s="646">
        <f>SUMIF(Sites!$A:$A,$A27,Sites!$I:$I)</f>
        <v>29000</v>
      </c>
      <c r="D27" s="642"/>
      <c r="E27" s="646">
        <f>SUMIF(Sites!$A:$A,$A27,Sites!$EI:$EI)</f>
        <v>10</v>
      </c>
      <c r="F27" s="643"/>
      <c r="G27" s="646">
        <f>SUMIF(Sites!$A:$A,$A27,Sites!$EJ:$EJ)</f>
        <v>55</v>
      </c>
      <c r="H27" s="643"/>
      <c r="I27" s="643">
        <v>0</v>
      </c>
      <c r="J27" s="643"/>
      <c r="K27" s="644">
        <f>SUMIF(Sites!$A:$A,$A27,Sites!$AG:$AG)</f>
        <v>6525000</v>
      </c>
      <c r="L27" s="643"/>
      <c r="M27" s="644">
        <f t="shared" si="11"/>
        <v>1210000</v>
      </c>
      <c r="N27" s="643"/>
      <c r="O27" s="644">
        <f t="shared" si="18"/>
        <v>7735000</v>
      </c>
      <c r="P27" s="707"/>
      <c r="Q27" s="644">
        <f t="shared" si="19"/>
        <v>-2245663.9999999995</v>
      </c>
      <c r="R27" s="707"/>
      <c r="S27" s="644">
        <f t="shared" si="17"/>
        <v>0</v>
      </c>
      <c r="T27" s="707"/>
      <c r="U27" s="644">
        <f t="shared" si="13"/>
        <v>0</v>
      </c>
      <c r="V27" s="707"/>
      <c r="W27" s="644">
        <f t="shared" si="25"/>
        <v>3835866</v>
      </c>
      <c r="X27" s="707"/>
      <c r="Y27" s="644">
        <f t="shared" si="14"/>
        <v>0</v>
      </c>
      <c r="Z27" s="707"/>
      <c r="AA27" s="644">
        <f t="shared" si="20"/>
        <v>1653470</v>
      </c>
      <c r="AB27" s="707"/>
      <c r="AC27" s="644">
        <f t="shared" si="21"/>
        <v>5489336</v>
      </c>
      <c r="AD27" s="707"/>
      <c r="AE27" s="644">
        <v>0</v>
      </c>
      <c r="AF27" s="663"/>
      <c r="AG27" s="644">
        <f t="shared" si="10"/>
        <v>5489336</v>
      </c>
      <c r="AH27" s="644" t="b">
        <f t="shared" si="22"/>
        <v>1</v>
      </c>
      <c r="AI27" s="644">
        <f>SUMIF(Sites!$A:$A,$A27,Sites!$EZ:$EZ)</f>
        <v>5489336</v>
      </c>
      <c r="AJ27" s="641"/>
      <c r="AL27" s="647">
        <f t="shared" si="23"/>
        <v>7142806</v>
      </c>
      <c r="AM27" s="644">
        <f>SUMIF(Sites!$A:$A,$A27,Sites!$EM:$EM)</f>
        <v>1210000</v>
      </c>
      <c r="AO27" s="647">
        <f t="shared" si="15"/>
        <v>1653470</v>
      </c>
      <c r="AP27" s="699"/>
      <c r="AQ27" s="644">
        <f t="shared" si="16"/>
        <v>21320000</v>
      </c>
      <c r="AR27" s="647">
        <f t="shared" si="24"/>
        <v>7142806</v>
      </c>
    </row>
    <row r="28" spans="1:44" ht="15">
      <c r="A28" s="709" t="str">
        <f>Sites!A23</f>
        <v>1911 Telegraph</v>
      </c>
      <c r="C28" s="646">
        <f>SUMIF(Sites!$A:$A,$A28,Sites!$I:$I)</f>
        <v>45121</v>
      </c>
      <c r="D28" s="642"/>
      <c r="E28" s="646">
        <f>SUMIF(Sites!$A:$A,$A28,Sites!$EI:$EI)</f>
        <v>15</v>
      </c>
      <c r="F28" s="643"/>
      <c r="G28" s="646">
        <f>SUMIF(Sites!$A:$A,$A28,Sites!$EJ:$EJ)</f>
        <v>86</v>
      </c>
      <c r="H28" s="643"/>
      <c r="I28" s="643">
        <v>0</v>
      </c>
      <c r="J28" s="643"/>
      <c r="K28" s="644">
        <f>SUMIF(Sites!$A:$A,$A28,Sites!$AG:$AG)</f>
        <v>14664325</v>
      </c>
      <c r="L28" s="643"/>
      <c r="M28" s="644">
        <f t="shared" si="11"/>
        <v>1892000</v>
      </c>
      <c r="N28" s="643"/>
      <c r="O28" s="644">
        <f t="shared" si="18"/>
        <v>16556325</v>
      </c>
      <c r="P28" s="707"/>
      <c r="Q28" s="644">
        <f t="shared" si="19"/>
        <v>-3368495.9999999995</v>
      </c>
      <c r="R28" s="707"/>
      <c r="S28" s="644">
        <f t="shared" si="17"/>
        <v>-1656400</v>
      </c>
      <c r="T28" s="707"/>
      <c r="U28" s="644">
        <f t="shared" si="13"/>
        <v>-1656400</v>
      </c>
      <c r="V28" s="707"/>
      <c r="W28" s="644">
        <f t="shared" si="25"/>
        <v>7305791</v>
      </c>
      <c r="X28" s="707"/>
      <c r="Y28" s="644">
        <f t="shared" si="14"/>
        <v>0</v>
      </c>
      <c r="Z28" s="707"/>
      <c r="AA28" s="644">
        <f t="shared" si="20"/>
        <v>2569238</v>
      </c>
      <c r="AB28" s="707"/>
      <c r="AC28" s="644">
        <f t="shared" si="21"/>
        <v>9875029</v>
      </c>
      <c r="AD28" s="707"/>
      <c r="AE28" s="644">
        <v>0</v>
      </c>
      <c r="AF28" s="710"/>
      <c r="AG28" s="644">
        <f t="shared" si="10"/>
        <v>9875029</v>
      </c>
      <c r="AH28" s="644" t="b">
        <f t="shared" si="22"/>
        <v>1</v>
      </c>
      <c r="AI28" s="644">
        <f>SUMIF(Sites!$A:$A,$A28,Sites!$EZ:$EZ)</f>
        <v>9875029</v>
      </c>
      <c r="AJ28" s="698"/>
      <c r="AL28" s="647">
        <f t="shared" si="23"/>
        <v>12444267</v>
      </c>
      <c r="AM28" s="644">
        <f>SUMIF(Sites!$A:$A,$A28,Sites!$EM:$EM)</f>
        <v>1892000</v>
      </c>
      <c r="AO28" s="647">
        <f t="shared" si="15"/>
        <v>2569238</v>
      </c>
      <c r="AP28" s="699"/>
      <c r="AQ28" s="644">
        <f t="shared" si="16"/>
        <v>33128000</v>
      </c>
      <c r="AR28" s="647">
        <f t="shared" si="24"/>
        <v>12444267</v>
      </c>
    </row>
    <row r="29" spans="1:44" ht="15">
      <c r="A29" s="709" t="str">
        <f>Sites!A24</f>
        <v>Fire Alarm Bldg</v>
      </c>
      <c r="C29" s="646">
        <f>SUMIF(Sites!$A:$A,$A29,Sites!$I:$I)</f>
        <v>31031</v>
      </c>
      <c r="D29" s="642"/>
      <c r="E29" s="646">
        <f>SUMIF(Sites!$A:$A,$A29,Sites!$EI:$EI)</f>
        <v>10</v>
      </c>
      <c r="F29" s="643"/>
      <c r="G29" s="646">
        <f>SUMIF(Sites!$A:$A,$A29,Sites!$EJ:$EJ)</f>
        <v>59</v>
      </c>
      <c r="H29" s="643"/>
      <c r="I29" s="643">
        <v>0</v>
      </c>
      <c r="J29" s="643"/>
      <c r="K29" s="644">
        <f>SUMIF(Sites!$A:$A,$A29,Sites!$AG:$AG)</f>
        <v>6981975</v>
      </c>
      <c r="L29" s="653"/>
      <c r="M29" s="644">
        <f t="shared" si="11"/>
        <v>1298000</v>
      </c>
      <c r="N29" s="653"/>
      <c r="O29" s="644">
        <f t="shared" ref="O29" si="26">SUM(K29:N29)</f>
        <v>8279975</v>
      </c>
      <c r="P29" s="707"/>
      <c r="Q29" s="644">
        <f t="shared" si="19"/>
        <v>-2245663.9999999995</v>
      </c>
      <c r="R29" s="663"/>
      <c r="S29" s="644">
        <f t="shared" si="17"/>
        <v>0</v>
      </c>
      <c r="T29" s="663"/>
      <c r="U29" s="644">
        <f t="shared" si="13"/>
        <v>0</v>
      </c>
      <c r="V29" s="663"/>
      <c r="W29" s="644">
        <f t="shared" si="25"/>
        <v>4279089</v>
      </c>
      <c r="X29" s="663"/>
      <c r="Y29" s="644">
        <f t="shared" si="14"/>
        <v>0</v>
      </c>
      <c r="Z29" s="663"/>
      <c r="AA29" s="644">
        <f t="shared" si="20"/>
        <v>1755222</v>
      </c>
      <c r="AB29" s="663"/>
      <c r="AC29" s="644">
        <f t="shared" si="21"/>
        <v>6034311</v>
      </c>
      <c r="AD29" s="663"/>
      <c r="AE29" s="644">
        <v>0</v>
      </c>
      <c r="AF29" s="657"/>
      <c r="AG29" s="644">
        <f t="shared" si="10"/>
        <v>6034311</v>
      </c>
      <c r="AH29" s="644" t="b">
        <f t="shared" si="22"/>
        <v>1</v>
      </c>
      <c r="AI29" s="644">
        <f>SUMIF(Sites!$A:$A,$A29,Sites!$EZ:$EZ)</f>
        <v>6034311</v>
      </c>
      <c r="AJ29" s="641"/>
      <c r="AL29" s="647">
        <f t="shared" si="23"/>
        <v>7789533</v>
      </c>
      <c r="AM29" s="644">
        <f>SUMIF(Sites!$A:$A,$A29,Sites!$EM:$EM)</f>
        <v>1298000</v>
      </c>
      <c r="AO29" s="647">
        <f t="shared" si="15"/>
        <v>1755222</v>
      </c>
      <c r="AP29" s="699"/>
      <c r="AQ29" s="644">
        <f t="shared" si="16"/>
        <v>22632000</v>
      </c>
      <c r="AR29" s="647">
        <f t="shared" si="24"/>
        <v>7789533</v>
      </c>
    </row>
    <row r="30" spans="1:44" ht="15">
      <c r="A30" s="658" t="s">
        <v>625</v>
      </c>
      <c r="B30" s="659"/>
      <c r="C30" s="660">
        <f>SUM(C18:C29)</f>
        <v>274086</v>
      </c>
      <c r="D30" s="700"/>
      <c r="E30" s="650">
        <f>SUM(E18:E29)</f>
        <v>76</v>
      </c>
      <c r="F30" s="651"/>
      <c r="G30" s="650">
        <f>SUM(G18:G29)</f>
        <v>430</v>
      </c>
      <c r="H30" s="651"/>
      <c r="I30" s="650">
        <f>SUM(I9:I29)</f>
        <v>0</v>
      </c>
      <c r="J30" s="651"/>
      <c r="K30" s="652">
        <f>SUM(K18:K29)</f>
        <v>38833280</v>
      </c>
      <c r="L30" s="645"/>
      <c r="M30" s="652">
        <f>SUM(M18:M29)</f>
        <v>7473500</v>
      </c>
      <c r="N30" s="645"/>
      <c r="O30" s="652">
        <f>SUM(O18:O29)</f>
        <v>46306780</v>
      </c>
      <c r="P30" s="768"/>
      <c r="Q30" s="652">
        <f>SUM(Q18:Q29)</f>
        <v>-17067046.399999999</v>
      </c>
      <c r="R30" s="707"/>
      <c r="S30" s="652">
        <f>SUM(S18:S29)</f>
        <v>-1656400</v>
      </c>
      <c r="T30" s="707"/>
      <c r="U30" s="652">
        <f>SUM(U18:U29)</f>
        <v>-1656400</v>
      </c>
      <c r="V30" s="707"/>
      <c r="W30" s="652">
        <f>SUM(W18:W29)</f>
        <v>17735063.800000001</v>
      </c>
      <c r="X30" s="707"/>
      <c r="Y30" s="652">
        <f>SUM(Y18:Y29)</f>
        <v>0</v>
      </c>
      <c r="Z30" s="707"/>
      <c r="AA30" s="652">
        <f>SUM(AA18:AA29)</f>
        <v>8191869.8000000007</v>
      </c>
      <c r="AB30" s="707"/>
      <c r="AC30" s="652">
        <f>SUM(AC18:AC29)</f>
        <v>25926933.600000001</v>
      </c>
      <c r="AD30" s="707"/>
      <c r="AE30" s="652">
        <f>SUM(AE18:AE29)</f>
        <v>0</v>
      </c>
      <c r="AF30" s="644"/>
      <c r="AG30" s="652">
        <f>SUM(AG18:AG29)</f>
        <v>25926933.600000001</v>
      </c>
      <c r="AH30" s="652"/>
      <c r="AI30" s="652">
        <f>SUM(AI18:AI29)</f>
        <v>25926933.600000001</v>
      </c>
      <c r="AJ30" s="658"/>
      <c r="AK30" s="652">
        <f>SUM(AA18:AA29)</f>
        <v>8191869.8000000007</v>
      </c>
      <c r="AL30" s="652">
        <f>SUM(AL18:AL29)</f>
        <v>34118803.400000006</v>
      </c>
      <c r="AM30" s="652">
        <f>SUM(AM18:AM29)</f>
        <v>7473500</v>
      </c>
      <c r="AO30" s="652">
        <f>SUM(AO18:AO29)</f>
        <v>12871628</v>
      </c>
      <c r="AQ30" s="652">
        <f>SUM(AQ18:AQ29)</f>
        <v>165968000</v>
      </c>
      <c r="AR30" s="652">
        <f>SUM(AR18:AR29)</f>
        <v>34118803.400000006</v>
      </c>
    </row>
    <row r="31" spans="1:44" ht="6" customHeight="1">
      <c r="A31" s="658"/>
      <c r="B31" s="659"/>
      <c r="C31" s="664"/>
      <c r="D31" s="700"/>
      <c r="E31" s="651"/>
      <c r="F31" s="651"/>
      <c r="G31" s="651"/>
      <c r="H31" s="665"/>
      <c r="I31" s="651"/>
      <c r="J31" s="665"/>
      <c r="K31" s="654"/>
      <c r="L31" s="645"/>
      <c r="M31" s="665"/>
      <c r="N31" s="645"/>
      <c r="O31" s="768"/>
      <c r="P31" s="768"/>
      <c r="Q31" s="768"/>
      <c r="R31" s="707"/>
      <c r="S31" s="768"/>
      <c r="T31" s="707"/>
      <c r="U31" s="768"/>
      <c r="V31" s="707"/>
      <c r="W31" s="768"/>
      <c r="X31" s="707"/>
      <c r="Y31" s="768"/>
      <c r="Z31" s="707"/>
      <c r="AA31" s="768"/>
      <c r="AB31" s="707"/>
      <c r="AC31" s="710"/>
      <c r="AD31" s="707"/>
      <c r="AE31" s="710"/>
      <c r="AF31" s="644"/>
      <c r="AG31" s="644">
        <f t="shared" ref="AG31" si="27">AC31+AE31</f>
        <v>0</v>
      </c>
      <c r="AJ31" s="658"/>
      <c r="AM31" s="665"/>
      <c r="AO31" s="665"/>
    </row>
    <row r="32" spans="1:44" ht="15">
      <c r="A32" s="637" t="s">
        <v>409</v>
      </c>
      <c r="C32" s="646"/>
      <c r="E32" s="646"/>
      <c r="F32" s="646"/>
      <c r="G32" s="646"/>
      <c r="H32" s="638"/>
      <c r="I32" s="646"/>
      <c r="J32" s="638"/>
      <c r="K32" s="656"/>
      <c r="L32" s="645"/>
      <c r="M32" s="638"/>
      <c r="N32" s="645"/>
      <c r="O32" s="657"/>
      <c r="P32" s="657"/>
      <c r="Q32" s="657"/>
      <c r="R32" s="707"/>
      <c r="S32" s="657"/>
      <c r="T32" s="707"/>
      <c r="U32" s="657"/>
      <c r="V32" s="707"/>
      <c r="W32" s="657"/>
      <c r="X32" s="707"/>
      <c r="Y32" s="657"/>
      <c r="Z32" s="707"/>
      <c r="AA32" s="657"/>
      <c r="AB32" s="707"/>
      <c r="AC32" s="657"/>
      <c r="AD32" s="707"/>
      <c r="AE32" s="657"/>
      <c r="AF32" s="644"/>
      <c r="AG32" s="644"/>
      <c r="AJ32" s="637"/>
      <c r="AM32" s="638"/>
      <c r="AQ32" s="634" t="s">
        <v>568</v>
      </c>
    </row>
    <row r="33" spans="1:44">
      <c r="A33" s="709" t="str">
        <f>Sites!A25</f>
        <v>Old Fire Station #24</v>
      </c>
      <c r="C33" s="646">
        <f>SUMIF(Sites!$A:$A,$A33,Sites!$I:$I)</f>
        <v>39535</v>
      </c>
      <c r="D33" s="642"/>
      <c r="E33" s="646">
        <f>SUMIF(Sites!$A:$A,$A33,Sites!$EI:$EI)</f>
        <v>0</v>
      </c>
      <c r="F33" s="643"/>
      <c r="G33" s="646">
        <f>SUMIF(Sites!$A:$A,$A33,Sites!$EJ:$EJ)</f>
        <v>0</v>
      </c>
      <c r="H33" s="643"/>
      <c r="I33" s="646">
        <f>SUMIF(Sites!$A:$A,$A33,Sites!$J:$J)+SUMIF(Sites!$A:$A,$A33,Sites!$M:$M)</f>
        <v>20000</v>
      </c>
      <c r="J33" s="643"/>
      <c r="K33" s="644">
        <f>SUMIF(Sites!$A:$A,$A33,Sites!$AG:$AG)</f>
        <v>1250000</v>
      </c>
      <c r="L33" s="645"/>
      <c r="M33" s="644">
        <f>IF($M$52=1,AM33,0)</f>
        <v>0</v>
      </c>
      <c r="N33" s="645"/>
      <c r="O33" s="644">
        <f>SUM(K33:N33)</f>
        <v>1250000</v>
      </c>
      <c r="P33" s="707"/>
      <c r="Q33" s="644">
        <f t="shared" ref="Q33:Q34" si="28">-C$43*E33</f>
        <v>0</v>
      </c>
      <c r="R33" s="707"/>
      <c r="S33" s="644">
        <f>-IF(AQ33&gt;40000000,AQ33*$C$46,0)</f>
        <v>0</v>
      </c>
      <c r="T33" s="707"/>
      <c r="U33" s="644">
        <f>-IF(E33+G33&gt;$AQ$6,$C$47*AQ33,0)</f>
        <v>0</v>
      </c>
      <c r="V33" s="707"/>
      <c r="W33" s="644">
        <f>IF(O33+Q33+S33+U33-AO33&gt;0,(O33+Q33+S33+U33-AO33)*$C$44,0)</f>
        <v>1250000</v>
      </c>
      <c r="X33" s="707"/>
      <c r="Y33" s="644">
        <f>IF($M$52=1,AY33,0)</f>
        <v>0</v>
      </c>
      <c r="Z33" s="707"/>
      <c r="AA33" s="644">
        <f>IF(O33+Q33-AO33&gt;0,AO33,O33+Q33+S33+U33)</f>
        <v>0</v>
      </c>
      <c r="AB33" s="707"/>
      <c r="AC33" s="644">
        <f>SUM(W33:AA33)</f>
        <v>1250000</v>
      </c>
      <c r="AD33" s="707"/>
      <c r="AE33" s="644">
        <v>0</v>
      </c>
      <c r="AF33" s="644"/>
      <c r="AG33" s="644">
        <f t="shared" ref="AG33:AG34" si="29">AC33+AE33</f>
        <v>1250000</v>
      </c>
      <c r="AH33" s="644" t="b">
        <f>AC33=AI33</f>
        <v>1</v>
      </c>
      <c r="AI33" s="647">
        <f>SUMIF(Sites!$A:$A,$A33,Sites!$DR:$DR)</f>
        <v>1250000</v>
      </c>
      <c r="AJ33" s="641"/>
      <c r="AL33" s="647">
        <f>AC33+AA33</f>
        <v>1250000</v>
      </c>
      <c r="AM33" s="644">
        <f>SUMIF(Sites!$A:$A,$A33,Sites!$DE:$DE)</f>
        <v>0</v>
      </c>
      <c r="AO33" s="644">
        <f>(AO$1-AM$1)*SUM($E33:$G33)*$C$42</f>
        <v>0</v>
      </c>
      <c r="AP33" s="699"/>
      <c r="AQ33" s="645">
        <f>I33*270</f>
        <v>5400000</v>
      </c>
      <c r="AR33" s="647">
        <f>AC33+AA33</f>
        <v>1250000</v>
      </c>
    </row>
    <row r="34" spans="1:44">
      <c r="A34" s="709" t="str">
        <f>Sites!A26</f>
        <v xml:space="preserve">66th &amp; San Leandro </v>
      </c>
      <c r="C34" s="646">
        <f>SUMIF(Sites!$A:$A,$A34,Sites!$I:$I)</f>
        <v>274428</v>
      </c>
      <c r="E34" s="646">
        <f>SUMIF(Sites!$A:$A,$A34,Sites!$EI:$EI)</f>
        <v>0</v>
      </c>
      <c r="F34" s="646"/>
      <c r="G34" s="646">
        <f>SUMIF(Sites!$A:$A,$A34,Sites!$EJ:$EJ)</f>
        <v>0</v>
      </c>
      <c r="H34" s="643"/>
      <c r="I34" s="646">
        <f>SUMIF(Sites!$A:$A,$A34,Sites!$J:$J)+SUMIF(Sites!$A:$A,$A34,Sites!$M:$M)</f>
        <v>274428</v>
      </c>
      <c r="J34" s="667"/>
      <c r="K34" s="644">
        <f>SUMIF(Sites!$A:$A,$A34,Sites!$AG:$AG)</f>
        <v>9604980</v>
      </c>
      <c r="L34" s="645"/>
      <c r="M34" s="644">
        <v>0</v>
      </c>
      <c r="N34" s="645"/>
      <c r="O34" s="644">
        <f>SUM(K34:N34)</f>
        <v>9604980</v>
      </c>
      <c r="P34" s="707"/>
      <c r="Q34" s="644">
        <f t="shared" si="28"/>
        <v>0</v>
      </c>
      <c r="R34" s="707"/>
      <c r="S34" s="644">
        <f>-IF(AQ34&gt;40000000,AQ34*$C$46,0)</f>
        <v>-2469852</v>
      </c>
      <c r="T34" s="707"/>
      <c r="U34" s="644">
        <f>-IF($AQ$34&gt;40000000,$AQ$34*$C$47,0)</f>
        <v>-2469852</v>
      </c>
      <c r="V34" s="707"/>
      <c r="W34" s="644">
        <f>IF(O34+Q34+S34+U34-AO34&gt;0,(O34+Q34+S34+U34-AO34)*$C$44,O34+Q34+S34+U34)</f>
        <v>4665276</v>
      </c>
      <c r="X34" s="707"/>
      <c r="Y34" s="644">
        <f>AM34</f>
        <v>1496568</v>
      </c>
      <c r="Z34" s="707"/>
      <c r="AA34" s="644">
        <f>IF(O34+Q34-AO34&gt;0,AO34,O34+Q34+S34+U34)</f>
        <v>0</v>
      </c>
      <c r="AB34" s="707"/>
      <c r="AC34" s="644">
        <f>SUM(W34:Y34)</f>
        <v>6161844</v>
      </c>
      <c r="AD34" s="707"/>
      <c r="AE34" s="644">
        <v>0</v>
      </c>
      <c r="AF34" s="644"/>
      <c r="AG34" s="644">
        <f t="shared" si="29"/>
        <v>6161844</v>
      </c>
      <c r="AH34" s="644" t="b">
        <f>AI34=(AC34+AK34)</f>
        <v>1</v>
      </c>
      <c r="AI34" s="644">
        <f>SUMIF(Sites!$A:$A,$A34,Sites!$DR:$DR)</f>
        <v>6161844</v>
      </c>
      <c r="AJ34" s="641"/>
      <c r="AM34" s="644">
        <f>(C34-25000)*6</f>
        <v>1496568</v>
      </c>
      <c r="AQ34" s="645">
        <f>I34*180</f>
        <v>49397040</v>
      </c>
    </row>
    <row r="35" spans="1:44" ht="15">
      <c r="A35" s="637" t="s">
        <v>556</v>
      </c>
      <c r="B35" s="659"/>
      <c r="C35" s="660">
        <f>SUM(C33:C34)</f>
        <v>313963</v>
      </c>
      <c r="D35" s="659"/>
      <c r="E35" s="650">
        <f>SUM(E33:E34)</f>
        <v>0</v>
      </c>
      <c r="F35" s="664"/>
      <c r="G35" s="650">
        <f>SUM(G33:G34)</f>
        <v>0</v>
      </c>
      <c r="H35" s="651"/>
      <c r="I35" s="668">
        <f>SUM(I33:I34)</f>
        <v>294428</v>
      </c>
      <c r="J35" s="669"/>
      <c r="K35" s="652">
        <f>SUM(K33:K34)</f>
        <v>10854980</v>
      </c>
      <c r="L35" s="654"/>
      <c r="M35" s="652">
        <f>SUM(M33:M34)</f>
        <v>0</v>
      </c>
      <c r="N35" s="654"/>
      <c r="O35" s="652">
        <f>SUM(O33:O34)</f>
        <v>10854980</v>
      </c>
      <c r="P35" s="710"/>
      <c r="Q35" s="652">
        <f>SUM(Q33:Q34)</f>
        <v>0</v>
      </c>
      <c r="R35" s="768"/>
      <c r="S35" s="652">
        <f>SUM(S33:S34)</f>
        <v>-2469852</v>
      </c>
      <c r="T35" s="768"/>
      <c r="U35" s="652">
        <f>SUM(U33:U34)</f>
        <v>-2469852</v>
      </c>
      <c r="V35" s="768"/>
      <c r="W35" s="652">
        <f>SUM(W33:W34)</f>
        <v>5915276</v>
      </c>
      <c r="X35" s="768"/>
      <c r="Y35" s="652">
        <f>SUM(Y33:Y34)</f>
        <v>1496568</v>
      </c>
      <c r="Z35" s="768"/>
      <c r="AA35" s="652">
        <f>SUM(AA33:AA34)</f>
        <v>0</v>
      </c>
      <c r="AB35" s="768"/>
      <c r="AC35" s="652">
        <f>SUM(AC33:AC34)</f>
        <v>7411844</v>
      </c>
      <c r="AD35" s="768"/>
      <c r="AE35" s="652">
        <f>SUM(AE33:AE34)</f>
        <v>0</v>
      </c>
      <c r="AF35" s="663"/>
      <c r="AG35" s="652">
        <f>SUM(AG33:AG34)</f>
        <v>7411844</v>
      </c>
      <c r="AJ35" s="637"/>
      <c r="AM35" s="652">
        <f>SUM(AM33:AM34)</f>
        <v>1496568</v>
      </c>
      <c r="AO35" s="674"/>
    </row>
    <row r="36" spans="1:44" ht="6" customHeight="1">
      <c r="B36" s="670"/>
      <c r="C36" s="646"/>
      <c r="E36" s="646"/>
      <c r="F36" s="646"/>
      <c r="G36" s="646"/>
      <c r="H36" s="638"/>
      <c r="I36" s="646"/>
      <c r="J36" s="638"/>
      <c r="K36" s="638"/>
      <c r="L36" s="638"/>
      <c r="M36" s="638"/>
      <c r="N36" s="638"/>
      <c r="O36" s="657"/>
      <c r="P36" s="657"/>
      <c r="Q36" s="657"/>
      <c r="R36" s="657"/>
      <c r="S36" s="657"/>
      <c r="T36" s="657"/>
      <c r="U36" s="657"/>
      <c r="V36" s="657"/>
      <c r="W36" s="657"/>
      <c r="X36" s="657"/>
      <c r="Y36" s="657"/>
      <c r="Z36" s="657"/>
      <c r="AA36" s="657"/>
      <c r="AB36" s="657"/>
      <c r="AC36" s="657"/>
      <c r="AD36" s="657"/>
      <c r="AE36" s="657"/>
      <c r="AF36" s="657"/>
      <c r="AG36" s="657"/>
      <c r="AM36" s="638"/>
      <c r="AO36" s="638"/>
    </row>
    <row r="37" spans="1:44" ht="15">
      <c r="A37" s="659" t="s">
        <v>483</v>
      </c>
      <c r="B37" s="671"/>
      <c r="C37" s="660">
        <f>C15+C30+C35</f>
        <v>1064066</v>
      </c>
      <c r="D37" s="659"/>
      <c r="E37" s="660">
        <f>E15+E30+E35</f>
        <v>647</v>
      </c>
      <c r="F37" s="661"/>
      <c r="G37" s="660">
        <f>G15+G30+G35</f>
        <v>430</v>
      </c>
      <c r="H37" s="672"/>
      <c r="I37" s="660">
        <f>I15+I30+I35</f>
        <v>294428</v>
      </c>
      <c r="J37" s="672"/>
      <c r="K37" s="652">
        <f>K15+K30+K35</f>
        <v>93298165</v>
      </c>
      <c r="L37" s="654"/>
      <c r="M37" s="652">
        <f>M15+M30+M35</f>
        <v>7473500</v>
      </c>
      <c r="N37" s="654"/>
      <c r="O37" s="652">
        <f>O15+O30+O35</f>
        <v>100771665</v>
      </c>
      <c r="P37" s="710"/>
      <c r="Q37" s="652">
        <f>Q15+Q30+Q35</f>
        <v>-75167438.400000006</v>
      </c>
      <c r="R37" s="657"/>
      <c r="S37" s="652">
        <f>S15+S30+S35</f>
        <v>-4126252</v>
      </c>
      <c r="T37" s="657"/>
      <c r="U37" s="652">
        <f>U15+U30+U35</f>
        <v>-12129452</v>
      </c>
      <c r="V37" s="657"/>
      <c r="W37" s="652">
        <f>W15+W30+W35</f>
        <v>-42453252.200000003</v>
      </c>
      <c r="X37" s="768"/>
      <c r="Y37" s="652">
        <f>Y15+Y30+Y35</f>
        <v>1496568</v>
      </c>
      <c r="Z37" s="768"/>
      <c r="AA37" s="652">
        <f>AA15+AA30+AA35</f>
        <v>8191869.8000000007</v>
      </c>
      <c r="AB37" s="657"/>
      <c r="AC37" s="652">
        <f>AC15+AC30+AC35</f>
        <v>-32764814.399999999</v>
      </c>
      <c r="AD37" s="768"/>
      <c r="AE37" s="652">
        <f>AE15+AE30+AE35</f>
        <v>0</v>
      </c>
      <c r="AF37" s="663"/>
      <c r="AG37" s="652">
        <f>AG15+AG30+AG35</f>
        <v>-32764814.399999999</v>
      </c>
      <c r="AH37" s="644" t="b">
        <f>AC37=AI37</f>
        <v>1</v>
      </c>
      <c r="AI37" s="657">
        <f>Summary!I30</f>
        <v>-32764814.399999999</v>
      </c>
      <c r="AJ37" s="659"/>
      <c r="AK37" s="657">
        <f>AC37</f>
        <v>-32764814.399999999</v>
      </c>
      <c r="AL37" s="657"/>
      <c r="AM37" s="652">
        <f>AM35+AM30</f>
        <v>8970068</v>
      </c>
      <c r="AO37" s="674"/>
    </row>
    <row r="38" spans="1:44" ht="6" customHeight="1">
      <c r="A38" s="659"/>
      <c r="B38" s="670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74"/>
      <c r="AD38" s="638"/>
      <c r="AE38" s="674"/>
      <c r="AF38" s="663"/>
      <c r="AG38" s="663"/>
      <c r="AJ38" s="659"/>
      <c r="AO38" s="638"/>
    </row>
    <row r="39" spans="1:44" ht="15">
      <c r="A39" s="659" t="s">
        <v>557</v>
      </c>
      <c r="B39" s="664"/>
      <c r="C39" s="664"/>
      <c r="D39" s="664"/>
      <c r="E39" s="661"/>
      <c r="F39" s="664"/>
      <c r="G39" s="672"/>
      <c r="H39" s="664"/>
      <c r="I39" s="672"/>
      <c r="J39" s="663"/>
      <c r="K39" s="673"/>
      <c r="L39" s="663"/>
      <c r="M39" s="673"/>
      <c r="N39" s="663"/>
      <c r="O39" s="674"/>
      <c r="P39" s="663"/>
      <c r="Q39" s="673"/>
      <c r="R39" s="663"/>
      <c r="S39" s="673"/>
      <c r="T39" s="663"/>
      <c r="U39" s="673"/>
      <c r="V39" s="663"/>
      <c r="W39" s="673"/>
      <c r="X39" s="663"/>
      <c r="Y39" s="673"/>
      <c r="Z39" s="663"/>
      <c r="AA39" s="673"/>
      <c r="AD39" s="663"/>
      <c r="AE39" s="675">
        <f>E37/SUM(E37:G37)</f>
        <v>0.60074280408542247</v>
      </c>
      <c r="AF39" s="675"/>
      <c r="AG39" s="675"/>
      <c r="AH39" s="627" t="b">
        <f>AG37=AI37</f>
        <v>1</v>
      </c>
      <c r="AJ39" s="671"/>
    </row>
    <row r="40" spans="1:44" ht="6" customHeight="1">
      <c r="B40" s="670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R40" s="638"/>
      <c r="S40" s="638"/>
      <c r="T40" s="638"/>
      <c r="U40" s="638"/>
      <c r="V40" s="638"/>
      <c r="W40" s="638"/>
      <c r="X40" s="638"/>
      <c r="Y40" s="638"/>
      <c r="Z40" s="638"/>
      <c r="AA40" s="638"/>
      <c r="AB40" s="638"/>
      <c r="AC40" s="674"/>
      <c r="AD40" s="638"/>
      <c r="AE40" s="674"/>
      <c r="AO40" s="638"/>
    </row>
    <row r="41" spans="1:44" ht="15">
      <c r="A41" s="676" t="s">
        <v>558</v>
      </c>
      <c r="B41" s="677"/>
      <c r="C41" s="678"/>
      <c r="D41" s="679"/>
      <c r="E41" s="678"/>
      <c r="F41" s="678"/>
      <c r="G41" s="678"/>
      <c r="H41" s="678"/>
      <c r="I41" s="678"/>
      <c r="J41" s="678"/>
      <c r="K41" s="678"/>
      <c r="L41" s="678"/>
      <c r="M41" s="678"/>
      <c r="N41" s="678"/>
      <c r="O41" s="678"/>
      <c r="P41" s="678"/>
      <c r="Q41" s="678"/>
      <c r="R41" s="678"/>
      <c r="S41" s="678"/>
      <c r="T41" s="678"/>
      <c r="U41" s="678"/>
      <c r="V41" s="678"/>
      <c r="W41" s="678"/>
      <c r="X41" s="678"/>
      <c r="Y41" s="678"/>
      <c r="Z41" s="678"/>
      <c r="AA41" s="678"/>
      <c r="AB41" s="678"/>
      <c r="AC41" s="701"/>
      <c r="AD41" s="678"/>
      <c r="AE41" s="701"/>
      <c r="AJ41" s="679"/>
      <c r="AO41" s="638"/>
    </row>
    <row r="42" spans="1:44" ht="15">
      <c r="A42" s="627" t="s">
        <v>658</v>
      </c>
      <c r="B42" s="670"/>
      <c r="C42" s="680">
        <f>Sites!DH3</f>
        <v>101752</v>
      </c>
      <c r="E42" s="638"/>
      <c r="F42" s="638"/>
      <c r="G42" s="638"/>
      <c r="H42" s="638"/>
      <c r="I42" s="638"/>
      <c r="J42" s="638"/>
      <c r="K42" s="638"/>
      <c r="L42" s="638"/>
      <c r="M42" s="638"/>
      <c r="N42" s="638"/>
      <c r="O42" s="638"/>
      <c r="P42" s="638"/>
      <c r="Q42" s="638"/>
      <c r="R42" s="638"/>
      <c r="S42" s="638"/>
      <c r="T42" s="638"/>
      <c r="U42" s="638"/>
      <c r="V42" s="638"/>
      <c r="W42" s="638"/>
      <c r="X42" s="638"/>
      <c r="Y42" s="638"/>
      <c r="Z42" s="638"/>
      <c r="AA42" s="638"/>
      <c r="AB42" s="638"/>
      <c r="AC42" s="674"/>
      <c r="AD42" s="638"/>
      <c r="AE42" s="674"/>
      <c r="AO42" s="638"/>
    </row>
    <row r="43" spans="1:44" ht="15">
      <c r="A43" s="627" t="s">
        <v>640</v>
      </c>
      <c r="B43" s="670"/>
      <c r="C43" s="680">
        <f>'SLA minimum'!C44</f>
        <v>224566.39999999997</v>
      </c>
      <c r="E43" s="638"/>
      <c r="F43" s="638"/>
      <c r="G43" s="638"/>
      <c r="H43" s="638"/>
      <c r="I43" s="638"/>
      <c r="J43" s="638"/>
      <c r="K43" s="638"/>
      <c r="L43" s="638"/>
      <c r="M43" s="638"/>
      <c r="N43" s="638"/>
      <c r="O43" s="638"/>
      <c r="P43" s="638"/>
      <c r="Q43" s="638"/>
      <c r="R43" s="638"/>
      <c r="S43" s="638"/>
      <c r="T43" s="638"/>
      <c r="U43" s="638"/>
      <c r="V43" s="638"/>
      <c r="W43" s="638"/>
      <c r="X43" s="638"/>
      <c r="Y43" s="638"/>
      <c r="Z43" s="638"/>
      <c r="AA43" s="638"/>
      <c r="AB43" s="638"/>
      <c r="AC43" s="674"/>
      <c r="AD43" s="638"/>
      <c r="AE43" s="674"/>
      <c r="AO43" s="638"/>
    </row>
    <row r="44" spans="1:44" ht="15">
      <c r="A44" s="627" t="s">
        <v>641</v>
      </c>
      <c r="B44" s="670"/>
      <c r="C44" s="703">
        <v>1</v>
      </c>
      <c r="E44" s="725"/>
      <c r="F44" s="638"/>
      <c r="G44" s="638"/>
      <c r="H44" s="638"/>
      <c r="I44" s="638"/>
      <c r="J44" s="638"/>
      <c r="K44" s="638"/>
      <c r="L44" s="638"/>
      <c r="M44" s="638"/>
      <c r="N44" s="638"/>
      <c r="O44" s="638"/>
      <c r="P44" s="638"/>
      <c r="Q44" s="638"/>
      <c r="R44" s="638"/>
      <c r="S44" s="638"/>
      <c r="T44" s="638"/>
      <c r="U44" s="638"/>
      <c r="V44" s="638"/>
      <c r="W44" s="638"/>
      <c r="X44" s="638"/>
      <c r="Y44" s="638"/>
      <c r="Z44" s="638"/>
      <c r="AA44" s="638"/>
      <c r="AB44" s="638"/>
      <c r="AC44" s="674"/>
      <c r="AD44" s="638"/>
      <c r="AE44" s="674"/>
      <c r="AO44" s="638"/>
    </row>
    <row r="45" spans="1:44" ht="15">
      <c r="A45" s="627" t="s">
        <v>614</v>
      </c>
      <c r="B45" s="670"/>
      <c r="C45" s="680">
        <v>328000</v>
      </c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  <c r="S45" s="638"/>
      <c r="T45" s="638"/>
      <c r="U45" s="638"/>
      <c r="V45" s="638"/>
      <c r="W45" s="638"/>
      <c r="X45" s="638"/>
      <c r="Y45" s="638"/>
      <c r="Z45" s="638"/>
      <c r="AA45" s="638"/>
      <c r="AB45" s="638"/>
      <c r="AC45" s="674"/>
      <c r="AD45" s="638"/>
      <c r="AE45" s="674"/>
      <c r="AO45" s="638"/>
    </row>
    <row r="46" spans="1:44" ht="15">
      <c r="A46" s="627" t="s">
        <v>652</v>
      </c>
      <c r="B46" s="670"/>
      <c r="C46" s="704">
        <v>0.05</v>
      </c>
      <c r="E46" s="638"/>
      <c r="F46" s="638"/>
      <c r="G46" s="638"/>
      <c r="H46" s="638"/>
      <c r="I46" s="638"/>
      <c r="J46" s="638"/>
      <c r="K46" s="638"/>
      <c r="L46" s="638"/>
      <c r="M46" s="638"/>
      <c r="N46" s="638"/>
      <c r="O46" s="638"/>
      <c r="P46" s="638"/>
      <c r="Q46" s="638"/>
      <c r="R46" s="638"/>
      <c r="S46" s="638"/>
      <c r="T46" s="638"/>
      <c r="U46" s="638"/>
      <c r="V46" s="638"/>
      <c r="W46" s="638"/>
      <c r="X46" s="638"/>
      <c r="Y46" s="638"/>
      <c r="Z46" s="638"/>
      <c r="AA46" s="638"/>
      <c r="AB46" s="638"/>
      <c r="AC46" s="674"/>
      <c r="AD46" s="638"/>
      <c r="AE46" s="674"/>
      <c r="AO46" s="638"/>
    </row>
    <row r="47" spans="1:44" ht="15">
      <c r="A47" s="627" t="s">
        <v>653</v>
      </c>
      <c r="B47" s="670"/>
      <c r="C47" s="704">
        <v>0.05</v>
      </c>
      <c r="E47" s="638"/>
      <c r="F47" s="638"/>
      <c r="G47" s="638"/>
      <c r="H47" s="638"/>
      <c r="I47" s="638"/>
      <c r="J47" s="638"/>
      <c r="K47" s="638"/>
      <c r="L47" s="638"/>
      <c r="M47" s="638"/>
      <c r="N47" s="638"/>
      <c r="O47" s="638"/>
      <c r="P47" s="638"/>
      <c r="Q47" s="638"/>
      <c r="R47" s="638"/>
      <c r="S47" s="638"/>
      <c r="T47" s="638"/>
      <c r="U47" s="638"/>
      <c r="V47" s="638"/>
      <c r="W47" s="638"/>
      <c r="X47" s="638"/>
      <c r="Y47" s="638"/>
      <c r="Z47" s="638"/>
      <c r="AA47" s="638"/>
      <c r="AB47" s="638"/>
      <c r="AC47" s="674"/>
      <c r="AD47" s="638"/>
      <c r="AE47" s="674"/>
      <c r="AO47" s="638"/>
    </row>
    <row r="48" spans="1:44" ht="6" customHeight="1">
      <c r="B48" s="670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8"/>
      <c r="T48" s="638"/>
      <c r="U48" s="638"/>
      <c r="V48" s="638"/>
      <c r="W48" s="638"/>
      <c r="X48" s="638"/>
      <c r="Y48" s="638"/>
      <c r="Z48" s="638"/>
      <c r="AA48" s="638"/>
      <c r="AB48" s="638"/>
      <c r="AC48" s="674"/>
      <c r="AD48" s="638"/>
      <c r="AE48" s="674"/>
      <c r="AO48" s="638"/>
    </row>
    <row r="49" spans="1:41" ht="15">
      <c r="A49" s="659" t="s">
        <v>562</v>
      </c>
      <c r="B49" s="670"/>
      <c r="E49" s="638"/>
      <c r="F49" s="638"/>
      <c r="G49" s="638"/>
      <c r="H49" s="638"/>
      <c r="I49" s="638"/>
      <c r="J49" s="638"/>
      <c r="K49" s="638"/>
      <c r="L49" s="638"/>
      <c r="M49" s="638"/>
      <c r="N49" s="638"/>
      <c r="O49" s="638"/>
      <c r="P49" s="638"/>
      <c r="Q49" s="638"/>
      <c r="R49" s="638"/>
      <c r="S49" s="638"/>
      <c r="T49" s="638"/>
      <c r="U49" s="638"/>
      <c r="V49" s="638"/>
      <c r="W49" s="638"/>
      <c r="X49" s="638"/>
      <c r="Y49" s="638"/>
      <c r="Z49" s="638"/>
      <c r="AA49" s="638"/>
      <c r="AB49" s="638"/>
      <c r="AC49" s="674"/>
      <c r="AD49" s="638"/>
      <c r="AE49" s="674"/>
      <c r="AO49" s="638"/>
    </row>
    <row r="50" spans="1:41" ht="15">
      <c r="A50" s="627" t="s">
        <v>671</v>
      </c>
      <c r="B50" s="670"/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U50" s="638"/>
      <c r="V50" s="638"/>
      <c r="W50" s="638"/>
      <c r="X50" s="638"/>
      <c r="Y50" s="638"/>
      <c r="Z50" s="638"/>
      <c r="AA50" s="638"/>
      <c r="AB50" s="638"/>
      <c r="AC50" s="674"/>
      <c r="AD50" s="638"/>
      <c r="AE50" s="674"/>
      <c r="AO50" s="638"/>
    </row>
    <row r="51" spans="1:41" ht="14.25" thickBot="1">
      <c r="B51" s="670"/>
      <c r="C51" s="627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D51" s="638"/>
      <c r="AO51" s="638"/>
    </row>
    <row r="52" spans="1:41" ht="16.5" thickBot="1">
      <c r="A52" s="700" t="s">
        <v>570</v>
      </c>
      <c r="B52" s="670"/>
      <c r="D52" s="685"/>
      <c r="E52" s="638"/>
      <c r="F52" s="638"/>
      <c r="G52" s="638"/>
      <c r="H52" s="638"/>
      <c r="I52" s="638"/>
      <c r="J52" s="638"/>
      <c r="K52" s="638"/>
      <c r="L52" s="638"/>
      <c r="M52" s="705">
        <v>1</v>
      </c>
      <c r="N52" s="638"/>
      <c r="O52" s="638"/>
      <c r="P52" s="638"/>
      <c r="Q52" s="638"/>
      <c r="R52" s="638"/>
      <c r="S52" s="638"/>
      <c r="T52" s="638"/>
      <c r="U52" s="638"/>
      <c r="V52" s="638"/>
      <c r="W52" s="638"/>
      <c r="X52" s="638"/>
      <c r="Y52"/>
      <c r="Z52" s="638"/>
      <c r="AA52"/>
      <c r="AB52" s="638"/>
      <c r="AD52" s="638"/>
      <c r="AJ52" s="700"/>
      <c r="AO52" s="638"/>
    </row>
    <row r="53" spans="1:41">
      <c r="A53" s="670"/>
      <c r="B53" s="670"/>
      <c r="D53" s="685"/>
      <c r="E53" s="638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D53" s="638"/>
      <c r="AF53" s="644"/>
      <c r="AG53" s="644"/>
      <c r="AJ53" s="670"/>
      <c r="AO53" s="638"/>
    </row>
    <row r="54" spans="1:41">
      <c r="AF54" s="644"/>
      <c r="AG54" s="644"/>
    </row>
  </sheetData>
  <sheetProtection algorithmName="SHA-512" hashValue="gF0d91alQT0L91g94sRCqF0VdNc8WQrb3DWiAz9LF41TxgtOHisMtd5/dejdVdO+aye+pk/fwvYxJRMtNYrE5A==" saltValue="0LPYjNQuER9wOf3zcKLf9A==" spinCount="100000" sheet="1" objects="1" scenarios="1"/>
  <mergeCells count="1">
    <mergeCell ref="AC3:AE3"/>
  </mergeCells>
  <dataValidations count="1">
    <dataValidation type="list" allowBlank="1" showInputMessage="1" showErrorMessage="1" sqref="M52">
      <formula1>"0,1"</formula1>
    </dataValidation>
  </dataValidations>
  <printOptions horizontalCentered="1"/>
  <pageMargins left="0.7" right="0.7" top="0.75" bottom="0.75" header="0.3" footer="0.3"/>
  <pageSetup scale="57" orientation="landscape" r:id="rId1"/>
  <headerFooter>
    <oddHeader>&amp;C&amp;16Attachment B: Summary Table of Affordable Housing Outcomes Under Guillen/Kaplan Proposal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Readme</vt:lpstr>
      <vt:lpstr>Summary</vt:lpstr>
      <vt:lpstr>Key Results</vt:lpstr>
      <vt:lpstr>Sites</vt:lpstr>
      <vt:lpstr>Staff Strategy</vt:lpstr>
      <vt:lpstr>CWN June</vt:lpstr>
      <vt:lpstr>Guillen-Kaplan</vt:lpstr>
      <vt:lpstr>SLA minimum</vt:lpstr>
      <vt:lpstr>Guillen-Kaplan_60%</vt:lpstr>
      <vt:lpstr>Land Value Analysis_80%AMI</vt:lpstr>
      <vt:lpstr>BMR Rents_80%AMI</vt:lpstr>
      <vt:lpstr>SubsidyComparisonGraphic</vt:lpstr>
      <vt:lpstr>BMR Rents_Staff_50AMI</vt:lpstr>
      <vt:lpstr>Impact Fee</vt:lpstr>
      <vt:lpstr>Funding</vt:lpstr>
      <vt:lpstr>Zoning Density</vt:lpstr>
      <vt:lpstr>Density Bonus</vt:lpstr>
      <vt:lpstr>NOFA Budget</vt:lpstr>
      <vt:lpstr>fiscal1a</vt:lpstr>
      <vt:lpstr>'CWN June'!Print_Area</vt:lpstr>
      <vt:lpstr>'Guillen-Kaplan'!Print_Area</vt:lpstr>
      <vt:lpstr>'Guillen-Kaplan_60%'!Print_Area</vt:lpstr>
      <vt:lpstr>'NOFA Budget'!Print_Area</vt:lpstr>
      <vt:lpstr>'SLA minimum'!Print_Area</vt:lpstr>
      <vt:lpstr>'Staff Strategy'!Print_Area</vt:lpstr>
      <vt:lpstr>Summary!Print_Area</vt:lpstr>
      <vt:lpstr>'NOFA Budget'!Print_Titles</vt:lpstr>
      <vt:lpstr>Sites!Print_Titles</vt:lpstr>
      <vt:lpstr>Summary!Print_Titles</vt:lpstr>
    </vt:vector>
  </TitlesOfParts>
  <Company>City Of Oakland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Patrick</dc:creator>
  <cp:lastModifiedBy>Wolinsky, Brandon</cp:lastModifiedBy>
  <cp:lastPrinted>2018-07-02T23:56:41Z</cp:lastPrinted>
  <dcterms:created xsi:type="dcterms:W3CDTF">2014-07-02T19:43:45Z</dcterms:created>
  <dcterms:modified xsi:type="dcterms:W3CDTF">2018-07-18T16:34:01Z</dcterms:modified>
  <cp:contentStatus/>
</cp:coreProperties>
</file>